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OCS\VNPF 2025 thuis werk\PAS-PFIC\Belastingconvenant\2026 docs update\"/>
    </mc:Choice>
  </mc:AlternateContent>
  <xr:revisionPtr revIDLastSave="0" documentId="13_ncr:1_{EA8796DF-0885-412F-907F-585C0E70416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Convenant 2026 werknemers" sheetId="2" r:id="rId1"/>
    <sheet name="Convenant 2026 vrijwilligers" sheetId="3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2" l="1"/>
  <c r="M57" i="3"/>
  <c r="M18" i="2"/>
  <c r="M17" i="3"/>
  <c r="M18" i="3"/>
  <c r="K19" i="3"/>
  <c r="K20" i="3"/>
  <c r="K21" i="3"/>
  <c r="K23" i="3"/>
  <c r="L29" i="3"/>
  <c r="L30" i="3"/>
  <c r="M27" i="3"/>
  <c r="M46" i="3"/>
  <c r="B34" i="3"/>
  <c r="B11" i="3"/>
  <c r="B35" i="3"/>
  <c r="D18" i="2"/>
  <c r="D19" i="2"/>
  <c r="B20" i="2"/>
  <c r="B21" i="2"/>
  <c r="B22" i="2"/>
  <c r="B24" i="2"/>
  <c r="B26" i="2"/>
  <c r="I33" i="2"/>
  <c r="I52" i="2"/>
  <c r="I70" i="2"/>
  <c r="K11" i="3"/>
  <c r="E35" i="3"/>
  <c r="E34" i="3"/>
  <c r="M19" i="2"/>
  <c r="K20" i="2"/>
  <c r="K21" i="2"/>
  <c r="K22" i="2"/>
  <c r="K24" i="2"/>
  <c r="K26" i="2"/>
  <c r="H33" i="2"/>
  <c r="L52" i="2"/>
  <c r="H11" i="3"/>
  <c r="D35" i="3"/>
  <c r="D34" i="3"/>
  <c r="J18" i="2"/>
  <c r="J19" i="2"/>
  <c r="H20" i="2"/>
  <c r="H21" i="2"/>
  <c r="H22" i="2"/>
  <c r="H24" i="2"/>
  <c r="H26" i="2"/>
  <c r="K33" i="2"/>
  <c r="K52" i="2"/>
  <c r="C34" i="3"/>
  <c r="E11" i="3"/>
  <c r="C35" i="3"/>
  <c r="G18" i="2"/>
  <c r="G19" i="2"/>
  <c r="E20" i="2"/>
  <c r="E21" i="2"/>
  <c r="E22" i="2"/>
  <c r="E24" i="2"/>
  <c r="E26" i="2"/>
  <c r="J33" i="2"/>
  <c r="J52" i="2"/>
  <c r="B25" i="2"/>
  <c r="I32" i="2"/>
  <c r="I34" i="2"/>
  <c r="B10" i="2"/>
  <c r="I30" i="2"/>
  <c r="B14" i="2"/>
  <c r="B15" i="2"/>
  <c r="I31" i="2"/>
  <c r="B23" i="2"/>
  <c r="B40" i="2"/>
  <c r="B41" i="2"/>
  <c r="C4" i="2"/>
  <c r="C5" i="2"/>
  <c r="D6" i="2"/>
  <c r="D7" i="2"/>
  <c r="B8" i="2"/>
  <c r="D12" i="2"/>
  <c r="B13" i="2"/>
  <c r="B31" i="3"/>
  <c r="C16" i="2"/>
  <c r="C17" i="2"/>
  <c r="L4" i="2"/>
  <c r="L5" i="2"/>
  <c r="M6" i="2"/>
  <c r="M7" i="2"/>
  <c r="K8" i="2"/>
  <c r="K10" i="2"/>
  <c r="H30" i="2"/>
  <c r="M12" i="2"/>
  <c r="K13" i="2"/>
  <c r="K14" i="2"/>
  <c r="K15" i="2"/>
  <c r="H31" i="2"/>
  <c r="E31" i="3"/>
  <c r="E40" i="2"/>
  <c r="E41" i="2"/>
  <c r="L16" i="2"/>
  <c r="L17" i="2"/>
  <c r="K23" i="2"/>
  <c r="K25" i="2"/>
  <c r="H32" i="2"/>
  <c r="H34" i="2"/>
  <c r="L70" i="2"/>
  <c r="F4" i="2"/>
  <c r="F5" i="2"/>
  <c r="G6" i="2"/>
  <c r="G7" i="2"/>
  <c r="E8" i="2"/>
  <c r="E10" i="2"/>
  <c r="J30" i="2"/>
  <c r="G12" i="2"/>
  <c r="E13" i="2"/>
  <c r="E14" i="2"/>
  <c r="E15" i="2"/>
  <c r="J31" i="2"/>
  <c r="C31" i="3"/>
  <c r="C40" i="2"/>
  <c r="C41" i="2"/>
  <c r="F16" i="2"/>
  <c r="F17" i="2"/>
  <c r="E23" i="2"/>
  <c r="E25" i="2"/>
  <c r="J32" i="2"/>
  <c r="J34" i="2"/>
  <c r="J70" i="2"/>
  <c r="I4" i="2"/>
  <c r="I5" i="2"/>
  <c r="J6" i="2"/>
  <c r="J7" i="2"/>
  <c r="H8" i="2"/>
  <c r="H10" i="2"/>
  <c r="K30" i="2"/>
  <c r="J12" i="2"/>
  <c r="H13" i="2"/>
  <c r="H14" i="2"/>
  <c r="H15" i="2"/>
  <c r="K31" i="2"/>
  <c r="D31" i="3"/>
  <c r="D40" i="2"/>
  <c r="D41" i="2"/>
  <c r="I16" i="2"/>
  <c r="I17" i="2"/>
  <c r="H23" i="2"/>
  <c r="H25" i="2"/>
  <c r="K32" i="2"/>
  <c r="K34" i="2"/>
  <c r="K70" i="2"/>
  <c r="L3" i="3"/>
  <c r="E26" i="3"/>
  <c r="L4" i="3"/>
  <c r="L5" i="3"/>
  <c r="M6" i="3"/>
  <c r="M7" i="3"/>
  <c r="K8" i="3"/>
  <c r="K9" i="3"/>
  <c r="K10" i="3"/>
  <c r="L27" i="3"/>
  <c r="M12" i="3"/>
  <c r="K13" i="3"/>
  <c r="K14" i="3"/>
  <c r="L28" i="3"/>
  <c r="K22" i="3"/>
  <c r="P20" i="3"/>
  <c r="P15" i="3"/>
  <c r="P9" i="3"/>
  <c r="A40" i="3"/>
  <c r="A2" i="3"/>
  <c r="P18" i="3"/>
  <c r="O12" i="3"/>
  <c r="P12" i="3"/>
  <c r="B9" i="3"/>
  <c r="B22" i="3"/>
  <c r="E37" i="2"/>
  <c r="P19" i="2"/>
  <c r="B37" i="2"/>
  <c r="D37" i="2"/>
  <c r="C37" i="2"/>
  <c r="O18" i="3"/>
  <c r="E27" i="3"/>
  <c r="L15" i="3"/>
  <c r="O16" i="3"/>
  <c r="D26" i="3"/>
  <c r="I4" i="3"/>
  <c r="I5" i="3"/>
  <c r="C26" i="3"/>
  <c r="F4" i="3"/>
  <c r="F5" i="3"/>
  <c r="B26" i="3"/>
  <c r="C4" i="3"/>
  <c r="C5" i="3"/>
  <c r="B40" i="3"/>
  <c r="D28" i="3"/>
  <c r="C28" i="3"/>
  <c r="B28" i="3"/>
  <c r="D27" i="3"/>
  <c r="I15" i="3"/>
  <c r="C27" i="3"/>
  <c r="F15" i="3"/>
  <c r="B27" i="3"/>
  <c r="C15" i="3"/>
  <c r="C32" i="2"/>
  <c r="I3" i="3"/>
  <c r="F3" i="3"/>
  <c r="C3" i="3"/>
  <c r="H9" i="3"/>
  <c r="H22" i="3"/>
  <c r="E9" i="3"/>
  <c r="E22" i="3"/>
  <c r="E28" i="3"/>
  <c r="E25" i="3"/>
  <c r="E32" i="2"/>
  <c r="D25" i="3"/>
  <c r="C25" i="3"/>
  <c r="B25" i="3"/>
  <c r="A29" i="3"/>
  <c r="A28" i="3"/>
  <c r="A27" i="3"/>
  <c r="A26" i="3"/>
  <c r="A25" i="3"/>
  <c r="D32" i="2"/>
  <c r="B32" i="2"/>
  <c r="D12" i="3"/>
  <c r="C46" i="2"/>
  <c r="G12" i="3"/>
  <c r="E29" i="3"/>
  <c r="B29" i="3"/>
  <c r="C29" i="3"/>
  <c r="D29" i="3"/>
  <c r="J17" i="3"/>
  <c r="H20" i="3"/>
  <c r="C16" i="3"/>
  <c r="D17" i="3"/>
  <c r="J6" i="3"/>
  <c r="J7" i="3"/>
  <c r="G6" i="3"/>
  <c r="D6" i="3"/>
  <c r="D7" i="3"/>
  <c r="B8" i="3"/>
  <c r="B10" i="3"/>
  <c r="E46" i="2"/>
  <c r="D46" i="2"/>
  <c r="J12" i="3"/>
  <c r="B46" i="2"/>
  <c r="I16" i="3"/>
  <c r="F16" i="3"/>
  <c r="L16" i="3"/>
  <c r="H8" i="3"/>
  <c r="H10" i="3"/>
  <c r="K27" i="3"/>
  <c r="E13" i="3"/>
  <c r="E14" i="3"/>
  <c r="G7" i="3"/>
  <c r="E8" i="3"/>
  <c r="E10" i="3"/>
  <c r="H13" i="3"/>
  <c r="H14" i="3"/>
  <c r="G17" i="3"/>
  <c r="G18" i="3"/>
  <c r="E19" i="3"/>
  <c r="J18" i="3"/>
  <c r="H19" i="3"/>
  <c r="H21" i="3"/>
  <c r="H23" i="3"/>
  <c r="D47" i="2"/>
  <c r="D48" i="2"/>
  <c r="B47" i="2"/>
  <c r="B48" i="2"/>
  <c r="E47" i="2"/>
  <c r="E48" i="2"/>
  <c r="B13" i="3"/>
  <c r="B14" i="3"/>
  <c r="I28" i="3"/>
  <c r="I27" i="3"/>
  <c r="B20" i="3"/>
  <c r="D18" i="3"/>
  <c r="B19" i="3"/>
  <c r="K28" i="3"/>
  <c r="K29" i="3"/>
  <c r="J28" i="3"/>
  <c r="J27" i="3"/>
  <c r="K30" i="3"/>
  <c r="E20" i="3"/>
  <c r="E21" i="3"/>
  <c r="E23" i="3"/>
  <c r="C47" i="2"/>
  <c r="C48" i="2"/>
  <c r="B21" i="3"/>
  <c r="B23" i="3"/>
  <c r="I30" i="3"/>
  <c r="I29" i="3"/>
  <c r="J29" i="3"/>
  <c r="J30" i="3"/>
  <c r="M34" i="3"/>
  <c r="M33" i="3"/>
</calcChain>
</file>

<file path=xl/sharedStrings.xml><?xml version="1.0" encoding="utf-8"?>
<sst xmlns="http://schemas.openxmlformats.org/spreadsheetml/2006/main" count="239" uniqueCount="152">
  <si>
    <t>Toegestane korting</t>
  </si>
  <si>
    <t xml:space="preserve">Gemiddelde toegangsprijs </t>
  </si>
  <si>
    <t>Aantal bezoeken per jaar</t>
  </si>
  <si>
    <t>Gemidd toegang minus krt</t>
  </si>
  <si>
    <t>Gemiddelde horecaverbruik</t>
  </si>
  <si>
    <t>Gem. horeca verbruik minus krt</t>
  </si>
  <si>
    <t>Aantal bet. bez. per jaar</t>
  </si>
  <si>
    <t>per jaar</t>
  </si>
  <si>
    <t>KLEIN</t>
  </si>
  <si>
    <t>MIDDEL</t>
  </si>
  <si>
    <t>GROOT</t>
  </si>
  <si>
    <t>Klein</t>
  </si>
  <si>
    <t>Middel</t>
  </si>
  <si>
    <t>Groot</t>
  </si>
  <si>
    <t>aantal vrijwilligers</t>
  </si>
  <si>
    <t>entree</t>
  </si>
  <si>
    <t>entree+horeca</t>
  </si>
  <si>
    <t>entree+introducee</t>
  </si>
  <si>
    <t>entree+horeca+introducee</t>
  </si>
  <si>
    <r>
      <t>Horeca omzet per jaar</t>
    </r>
    <r>
      <rPr>
        <sz val="8"/>
        <color indexed="8"/>
        <rFont val="Arial"/>
        <family val="2"/>
      </rPr>
      <t xml:space="preserve"> (incl btw)</t>
    </r>
  </si>
  <si>
    <r>
      <t>Recette per jaar</t>
    </r>
    <r>
      <rPr>
        <sz val="8"/>
        <color indexed="8"/>
        <rFont val="Arial"/>
        <family val="2"/>
      </rPr>
      <t xml:space="preserve"> (incl btw)</t>
    </r>
  </si>
  <si>
    <r>
      <t xml:space="preserve">Recette per jaar </t>
    </r>
    <r>
      <rPr>
        <sz val="8"/>
        <rFont val="Arial"/>
        <family val="2"/>
      </rPr>
      <t>(ex btw)</t>
    </r>
  </si>
  <si>
    <r>
      <t>Horeca omzet per jaar</t>
    </r>
    <r>
      <rPr>
        <sz val="8"/>
        <rFont val="Arial"/>
        <family val="2"/>
      </rPr>
      <t xml:space="preserve"> (ex btw)</t>
    </r>
  </si>
  <si>
    <t>Belastingtarief (hoog/laag)</t>
  </si>
  <si>
    <t>horeca inkoop</t>
  </si>
  <si>
    <t>horeca marge</t>
  </si>
  <si>
    <t>per maand</t>
  </si>
  <si>
    <t>Wettelijk toegestaan:</t>
  </si>
  <si>
    <t>Totaal aantal werkzame personen</t>
  </si>
  <si>
    <t>Totaal aantal vrijwilligers</t>
  </si>
  <si>
    <t>Totaal aantal werkzame personen, excl vrijwilligers</t>
  </si>
  <si>
    <t>Totaal aantal bezoeken per jaar</t>
  </si>
  <si>
    <t>Gemiddelde horecaverbruik per persoon</t>
  </si>
  <si>
    <t>TOTAAL</t>
  </si>
  <si>
    <t>Totaal</t>
  </si>
  <si>
    <r>
      <t xml:space="preserve">Waarde prive gebruik </t>
    </r>
    <r>
      <rPr>
        <b/>
        <sz val="10"/>
        <rFont val="Arial"/>
        <family val="2"/>
      </rPr>
      <t>entree</t>
    </r>
    <r>
      <rPr>
        <sz val="10"/>
        <rFont val="Arial"/>
        <family val="2"/>
      </rPr>
      <t xml:space="preserve"> per jaar</t>
    </r>
  </si>
  <si>
    <r>
      <t xml:space="preserve">Waarde prive gebruik </t>
    </r>
    <r>
      <rPr>
        <b/>
        <sz val="10"/>
        <rFont val="Arial"/>
        <family val="2"/>
      </rPr>
      <t>introducee</t>
    </r>
    <r>
      <rPr>
        <sz val="10"/>
        <rFont val="Arial"/>
        <family val="2"/>
      </rPr>
      <t xml:space="preserve"> per jaar</t>
    </r>
  </si>
  <si>
    <r>
      <t xml:space="preserve">Idem inclusief prive gebruik </t>
    </r>
    <r>
      <rPr>
        <b/>
        <sz val="10"/>
        <rFont val="Arial"/>
        <family val="2"/>
      </rPr>
      <t>entree</t>
    </r>
  </si>
  <si>
    <r>
      <t xml:space="preserve">Waarde prive gebruik </t>
    </r>
    <r>
      <rPr>
        <b/>
        <sz val="10"/>
        <rFont val="Arial"/>
        <family val="2"/>
      </rPr>
      <t>horeca</t>
    </r>
    <r>
      <rPr>
        <sz val="10"/>
        <rFont val="Arial"/>
        <family val="2"/>
      </rPr>
      <t xml:space="preserve"> per jaar</t>
    </r>
  </si>
  <si>
    <t>Gem. horeca minus korting</t>
  </si>
  <si>
    <r>
      <t>Waarde prive gebruik per jaar (</t>
    </r>
    <r>
      <rPr>
        <b/>
        <sz val="8"/>
        <rFont val="Arial"/>
        <family val="2"/>
      </rPr>
      <t>entree+intro+hor</t>
    </r>
    <r>
      <rPr>
        <sz val="10"/>
        <rFont val="Arial"/>
        <family val="2"/>
      </rPr>
      <t>)</t>
    </r>
  </si>
  <si>
    <t>Samenvatting individueel forfait</t>
  </si>
  <si>
    <r>
      <t xml:space="preserve">Waarde prive gebruik </t>
    </r>
    <r>
      <rPr>
        <b/>
        <sz val="10"/>
        <rFont val="Arial"/>
        <family val="2"/>
      </rPr>
      <t>introducee</t>
    </r>
    <r>
      <rPr>
        <sz val="10"/>
        <rFont val="Arial"/>
        <family val="2"/>
      </rPr>
      <t xml:space="preserve"> per jaar</t>
    </r>
  </si>
  <si>
    <t>Gemiddelde vergoeding</t>
  </si>
  <si>
    <t>bruto grondslag per jaar (entree)</t>
  </si>
  <si>
    <t>bruto grondslag per jaar (entree + introducee)</t>
  </si>
  <si>
    <t>bruto grondslag per jaar  (entree + horeca)</t>
  </si>
  <si>
    <t>bruto grondslag per jaar (entree + horeca + introducee)</t>
  </si>
  <si>
    <t>Eigen bijdrage</t>
  </si>
  <si>
    <t>Te belasten verstrekking</t>
  </si>
  <si>
    <t>Horecaverstrekking per bezoek</t>
  </si>
  <si>
    <t>gemiddeld:</t>
  </si>
  <si>
    <t>Introducee bezoeken per jaar (per werknemer)</t>
  </si>
  <si>
    <t>Aantal bezoeken per jaar (per werknemer)</t>
  </si>
  <si>
    <t>aantal bezoeken per vrijwilliger per jaar</t>
  </si>
  <si>
    <t>Aantal bezoeken per vrijwilliger jaar</t>
  </si>
  <si>
    <t>aantal introduceebezoeken per vrijwilliger per jaar</t>
  </si>
  <si>
    <t>Aantal introducee bezoeken per vrijwilliger per jaar</t>
  </si>
  <si>
    <t>Totaal aantal introducee bezoeken per jaar</t>
  </si>
  <si>
    <t>Totaal # introducee bezoeken per jaar</t>
  </si>
  <si>
    <t>Forfaitregeling VRIJWILLIGERS</t>
  </si>
  <si>
    <t>Totaal aantal wrknmrs bezoeken per jaar</t>
  </si>
  <si>
    <t>Gemiddeld verbruik b.b. + werknemers + vrijwilligers + introducees + gasten</t>
  </si>
  <si>
    <t>per vrijwilliger per jaar</t>
  </si>
  <si>
    <t>Eis convenant:</t>
  </si>
  <si>
    <t>Forfait 2011:</t>
  </si>
  <si>
    <t>gemiddelde PAS2007-2008</t>
  </si>
  <si>
    <t>Forfait 2010:</t>
  </si>
  <si>
    <t>Forfait 2009:</t>
  </si>
  <si>
    <t>PAS2007</t>
  </si>
  <si>
    <t>FORFAITTABEL</t>
  </si>
  <si>
    <t>PAS2008</t>
  </si>
  <si>
    <t>PAS2009</t>
  </si>
  <si>
    <t>PAS2010</t>
  </si>
  <si>
    <t>Forfait 2012:</t>
  </si>
  <si>
    <t>gemiddelde PAS2007-2009; definitieve vaststelling op Forfait 2010</t>
  </si>
  <si>
    <t>PAS2011</t>
  </si>
  <si>
    <t>Forfait 2013:</t>
  </si>
  <si>
    <t>gemiddelde PAS2008-2010; definitieve vaststelling op Forfait 2010</t>
  </si>
  <si>
    <t>PAS2012</t>
  </si>
  <si>
    <t>gemiddelde PAS2009-2011</t>
  </si>
  <si>
    <t>Totaal # gratis bezoeken per jaar</t>
  </si>
  <si>
    <t>Forfait 2014:</t>
  </si>
  <si>
    <t>zie tabel onder</t>
  </si>
  <si>
    <t>belastingtarief</t>
  </si>
  <si>
    <t>PAS2013</t>
  </si>
  <si>
    <t>Forfait 2015:</t>
  </si>
  <si>
    <t>recette</t>
  </si>
  <si>
    <t>bruto omzet horeca</t>
  </si>
  <si>
    <t>gemiddelde PAS2010-2012</t>
  </si>
  <si>
    <t>personeelskorting branchegerichte producten; vrijstelling tot € 500.</t>
  </si>
  <si>
    <t>- horeca per mdw</t>
  </si>
  <si>
    <t>WKR: gerichte vrijstelling</t>
  </si>
  <si>
    <t>- bezoeken per mdw</t>
  </si>
  <si>
    <t>Personeelskorting branchegerichte producten (20%)</t>
  </si>
  <si>
    <t>maximum vrijstelling per medewerker:</t>
  </si>
  <si>
    <t>Totaal per medewerker per jaar</t>
  </si>
  <si>
    <t>Forfait 2016:</t>
  </si>
  <si>
    <t>PAS2014</t>
  </si>
  <si>
    <t>gemiddelde PAS2011-2013</t>
  </si>
  <si>
    <t>gemiddelde PAS2014-2015</t>
  </si>
  <si>
    <t>gemiddelde PAS2014-2016</t>
  </si>
  <si>
    <t>HERSTART ivm WKR</t>
  </si>
  <si>
    <t>WKR vrijgesteld</t>
  </si>
  <si>
    <t>NIHIL indien kleiner dan 0</t>
  </si>
  <si>
    <t>introducee</t>
  </si>
  <si>
    <t>PAS2015</t>
  </si>
  <si>
    <t>conform forfait MEDEWERKERS</t>
  </si>
  <si>
    <t>gemiddelde PAS2013-2015</t>
  </si>
  <si>
    <t>Forfait 2017:</t>
  </si>
  <si>
    <t>gemiddelde PAS2014</t>
  </si>
  <si>
    <t>PAS2016</t>
  </si>
  <si>
    <t>Forfait 2018:</t>
  </si>
  <si>
    <t>FORFAIT</t>
  </si>
  <si>
    <t>berekend</t>
  </si>
  <si>
    <t>Debriefing / naborrel</t>
  </si>
  <si>
    <t>PAS2017</t>
  </si>
  <si>
    <t>Forfait 2019:</t>
  </si>
  <si>
    <t>gemiddelde PAS2015-2017</t>
  </si>
  <si>
    <t>PAS2018</t>
  </si>
  <si>
    <t>Forfait 2020:</t>
  </si>
  <si>
    <t>gemiddelde PAS2016-2018</t>
  </si>
  <si>
    <t>Forfaitaire regeling WERKNEMERS</t>
  </si>
  <si>
    <t>Forfait 2021:</t>
  </si>
  <si>
    <t>gemiddelde PAS2017-2019</t>
  </si>
  <si>
    <t>PAS2019</t>
  </si>
  <si>
    <t>Wordt gebruikt om aandeel convenant in vrije ruimte WKR te berekenen</t>
  </si>
  <si>
    <t>Forfait 2022:</t>
  </si>
  <si>
    <t>gemiddelde PAS2017-2019 (zelfde peiljaren vanwege pandemie in 2020)</t>
  </si>
  <si>
    <t>horeca 19% btw</t>
  </si>
  <si>
    <t>horeca 18% btw</t>
  </si>
  <si>
    <t>Forfait 2023:</t>
  </si>
  <si>
    <t>gemiddelde PAS2017-2019 (zelfde peiljaren vanwege pandemie in 2021)</t>
  </si>
  <si>
    <t>PAS2022</t>
  </si>
  <si>
    <t>gemiddelde PAS2018-2019-2022 (peiljaren vanwege pandemie in 2020 en 2021)</t>
  </si>
  <si>
    <t>Forfait 2024:</t>
  </si>
  <si>
    <t>gemiddelde PAS2018-2019-2022 (vanwege pandemie in 2020 en 2021)</t>
  </si>
  <si>
    <t>Forfait 2025:</t>
  </si>
  <si>
    <t>PAS2023</t>
  </si>
  <si>
    <t>gemiddelde PAS2019-2022-2023 (peiljaren vanwege pandemie in 2020 en 2021)</t>
  </si>
  <si>
    <t>gemiddelde PAS2019-2022-2023 (vanwege pandemie in 2020 en 2021)</t>
  </si>
  <si>
    <t>toegepast op VNPF PAS cijfers 2024</t>
  </si>
  <si>
    <t>PAS cijfers 2024</t>
  </si>
  <si>
    <r>
      <t>PAS cijfers 2024 (</t>
    </r>
    <r>
      <rPr>
        <i/>
        <sz val="9"/>
        <rFont val="Arial"/>
        <family val="2"/>
      </rPr>
      <t>gemiddeld per podium</t>
    </r>
    <r>
      <rPr>
        <b/>
        <sz val="10"/>
        <rFont val="Arial"/>
        <family val="2"/>
      </rPr>
      <t>)</t>
    </r>
  </si>
  <si>
    <t>PAS2024</t>
  </si>
  <si>
    <t>PAS 2024</t>
  </si>
  <si>
    <t>PAS2024, zie onder</t>
  </si>
  <si>
    <t>Forfait 2026</t>
  </si>
  <si>
    <t>gemiddelde PAS2022-2023-2024</t>
  </si>
  <si>
    <t>incl ingehuurd (zzp, payroll, etc)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</si>
  <si>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</si>
  <si>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Forfait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</si>
</sst>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€&quot;\ #,##0;[Red]&quot;€&quot;\ \-#,##0"/>
    <numFmt numFmtId="8" formatCode="&quot;€&quot;\ #,##0.00;[Red]&quot;€&quot;\ \-#,##0.00"/>
    <numFmt numFmtId="164" formatCode="&quot;€&quot;\ #,##0_-;[Red]&quot;€&quot;\ #,##0\-"/>
    <numFmt numFmtId="165" formatCode="&quot;€&quot;\ #,##0.00_-;[Red]&quot;€&quot;\ #,##0.00\-"/>
    <numFmt numFmtId="166" formatCode="0.00_ ;[Red]\-0.00\ "/>
    <numFmt numFmtId="167" formatCode="0_ ;[Red]\-0\ "/>
    <numFmt numFmtId="168" formatCode="#,##0_ ;[Red]\-#,##0\ "/>
    <numFmt numFmtId="169" formatCode="0.0_ ;[Red]\-0.0\ "/>
    <numFmt numFmtId="170" formatCode="#,##0.00_ ;[Red]\-#,##0.00\ "/>
    <numFmt numFmtId="171" formatCode="&quot;€&quot;\ #,##0_-"/>
    <numFmt numFmtId="172" formatCode="0.0%"/>
    <numFmt numFmtId="173" formatCode="&quot;€&quot;\ #,##0.00_-"/>
    <numFmt numFmtId="174" formatCode="_ [$€-2]\ * #,##0_ ;_ [$€-2]\ * \-#,##0_ ;_ [$€-2]\ * &quot;-&quot;??_ ;_ @_ "/>
    <numFmt numFmtId="175" formatCode="#,##0.0_ ;[Red]\-#,##0.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1" xfId="0" applyNumberFormat="1" applyBorder="1"/>
    <xf numFmtId="164" fontId="2" fillId="0" borderId="1" xfId="0" applyNumberFormat="1" applyFont="1" applyBorder="1"/>
    <xf numFmtId="0" fontId="4" fillId="0" borderId="5" xfId="0" applyFont="1" applyBorder="1"/>
    <xf numFmtId="165" fontId="0" fillId="0" borderId="4" xfId="0" applyNumberFormat="1" applyBorder="1"/>
    <xf numFmtId="165" fontId="5" fillId="0" borderId="2" xfId="0" applyNumberFormat="1" applyFont="1" applyBorder="1"/>
    <xf numFmtId="165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4" fontId="0" fillId="0" borderId="0" xfId="0" applyNumberFormat="1"/>
    <xf numFmtId="0" fontId="2" fillId="2" borderId="7" xfId="0" applyFont="1" applyFill="1" applyBorder="1"/>
    <xf numFmtId="0" fontId="2" fillId="2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165" fontId="2" fillId="0" borderId="11" xfId="0" applyNumberFormat="1" applyFont="1" applyBorder="1" applyAlignment="1">
      <alignment vertical="center"/>
    </xf>
    <xf numFmtId="164" fontId="2" fillId="0" borderId="11" xfId="0" applyNumberFormat="1" applyFont="1" applyBorder="1"/>
    <xf numFmtId="0" fontId="0" fillId="0" borderId="12" xfId="0" applyBorder="1"/>
    <xf numFmtId="168" fontId="0" fillId="0" borderId="0" xfId="0" applyNumberFormat="1"/>
    <xf numFmtId="0" fontId="2" fillId="0" borderId="0" xfId="0" applyFont="1" applyAlignment="1">
      <alignment horizontal="right"/>
    </xf>
    <xf numFmtId="0" fontId="0" fillId="0" borderId="13" xfId="0" applyBorder="1"/>
    <xf numFmtId="164" fontId="0" fillId="0" borderId="5" xfId="0" applyNumberFormat="1" applyBorder="1"/>
    <xf numFmtId="0" fontId="5" fillId="0" borderId="5" xfId="0" applyFont="1" applyBorder="1" applyAlignment="1">
      <alignment vertical="center"/>
    </xf>
    <xf numFmtId="9" fontId="0" fillId="0" borderId="6" xfId="0" applyNumberFormat="1" applyBorder="1"/>
    <xf numFmtId="9" fontId="0" fillId="0" borderId="9" xfId="0" applyNumberFormat="1" applyBorder="1"/>
    <xf numFmtId="0" fontId="5" fillId="0" borderId="3" xfId="0" applyFont="1" applyBorder="1" applyAlignment="1">
      <alignment vertical="center"/>
    </xf>
    <xf numFmtId="164" fontId="2" fillId="0" borderId="14" xfId="0" applyNumberFormat="1" applyFont="1" applyBorder="1"/>
    <xf numFmtId="164" fontId="2" fillId="0" borderId="15" xfId="0" applyNumberFormat="1" applyFont="1" applyBorder="1"/>
    <xf numFmtId="164" fontId="0" fillId="0" borderId="3" xfId="0" applyNumberFormat="1" applyBorder="1"/>
    <xf numFmtId="0" fontId="0" fillId="2" borderId="2" xfId="0" applyFill="1" applyBorder="1"/>
    <xf numFmtId="0" fontId="0" fillId="2" borderId="1" xfId="0" applyFill="1" applyBorder="1"/>
    <xf numFmtId="0" fontId="0" fillId="2" borderId="16" xfId="0" applyFill="1" applyBorder="1"/>
    <xf numFmtId="0" fontId="0" fillId="2" borderId="14" xfId="0" applyFill="1" applyBorder="1"/>
    <xf numFmtId="0" fontId="5" fillId="0" borderId="2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/>
    <xf numFmtId="169" fontId="0" fillId="0" borderId="0" xfId="0" applyNumberFormat="1"/>
    <xf numFmtId="0" fontId="5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2" borderId="4" xfId="0" applyFont="1" applyFill="1" applyBorder="1" applyAlignment="1">
      <alignment horizontal="left"/>
    </xf>
    <xf numFmtId="0" fontId="0" fillId="2" borderId="6" xfId="0" applyFill="1" applyBorder="1"/>
    <xf numFmtId="0" fontId="2" fillId="2" borderId="16" xfId="0" applyFont="1" applyFill="1" applyBorder="1"/>
    <xf numFmtId="165" fontId="2" fillId="0" borderId="21" xfId="0" applyNumberFormat="1" applyFont="1" applyBorder="1"/>
    <xf numFmtId="170" fontId="0" fillId="0" borderId="2" xfId="0" applyNumberFormat="1" applyBorder="1"/>
    <xf numFmtId="1" fontId="3" fillId="0" borderId="0" xfId="0" applyNumberFormat="1" applyFont="1" applyAlignment="1">
      <alignment horizontal="left"/>
    </xf>
    <xf numFmtId="164" fontId="2" fillId="0" borderId="0" xfId="0" applyNumberFormat="1" applyFont="1"/>
    <xf numFmtId="0" fontId="2" fillId="2" borderId="22" xfId="0" applyFont="1" applyFill="1" applyBorder="1"/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10" fontId="2" fillId="0" borderId="25" xfId="0" applyNumberFormat="1" applyFont="1" applyBorder="1"/>
    <xf numFmtId="10" fontId="2" fillId="0" borderId="26" xfId="0" applyNumberFormat="1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9" fontId="0" fillId="0" borderId="1" xfId="0" applyNumberFormat="1" applyBorder="1"/>
    <xf numFmtId="9" fontId="0" fillId="0" borderId="11" xfId="0" applyNumberFormat="1" applyBorder="1"/>
    <xf numFmtId="0" fontId="4" fillId="0" borderId="2" xfId="0" applyFont="1" applyBorder="1"/>
    <xf numFmtId="165" fontId="2" fillId="0" borderId="4" xfId="0" applyNumberFormat="1" applyFont="1" applyBorder="1"/>
    <xf numFmtId="165" fontId="2" fillId="0" borderId="2" xfId="0" applyNumberFormat="1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165" fontId="5" fillId="0" borderId="4" xfId="0" applyNumberFormat="1" applyFont="1" applyBorder="1"/>
    <xf numFmtId="0" fontId="0" fillId="0" borderId="0" xfId="0" applyAlignment="1">
      <alignment horizontal="right" vertical="center"/>
    </xf>
    <xf numFmtId="165" fontId="2" fillId="0" borderId="29" xfId="0" applyNumberFormat="1" applyFont="1" applyBorder="1"/>
    <xf numFmtId="0" fontId="2" fillId="0" borderId="0" xfId="0" applyFont="1" applyAlignment="1">
      <alignment horizontal="center"/>
    </xf>
    <xf numFmtId="0" fontId="0" fillId="0" borderId="30" xfId="0" applyBorder="1"/>
    <xf numFmtId="164" fontId="0" fillId="0" borderId="30" xfId="0" applyNumberFormat="1" applyBorder="1"/>
    <xf numFmtId="10" fontId="2" fillId="0" borderId="30" xfId="0" applyNumberFormat="1" applyFont="1" applyBorder="1"/>
    <xf numFmtId="0" fontId="5" fillId="0" borderId="27" xfId="0" applyFont="1" applyBorder="1"/>
    <xf numFmtId="164" fontId="0" fillId="0" borderId="31" xfId="0" applyNumberFormat="1" applyBorder="1"/>
    <xf numFmtId="10" fontId="2" fillId="0" borderId="31" xfId="0" applyNumberFormat="1" applyFont="1" applyBorder="1"/>
    <xf numFmtId="0" fontId="0" fillId="0" borderId="31" xfId="0" applyBorder="1"/>
    <xf numFmtId="168" fontId="2" fillId="0" borderId="26" xfId="0" applyNumberFormat="1" applyFont="1" applyBorder="1"/>
    <xf numFmtId="0" fontId="0" fillId="2" borderId="32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0" fillId="0" borderId="34" xfId="0" applyBorder="1"/>
    <xf numFmtId="165" fontId="2" fillId="0" borderId="35" xfId="0" applyNumberFormat="1" applyFont="1" applyBorder="1"/>
    <xf numFmtId="0" fontId="0" fillId="0" borderId="35" xfId="0" applyBorder="1"/>
    <xf numFmtId="165" fontId="2" fillId="0" borderId="36" xfId="0" applyNumberFormat="1" applyFont="1" applyBorder="1"/>
    <xf numFmtId="165" fontId="1" fillId="0" borderId="2" xfId="0" applyNumberFormat="1" applyFont="1" applyBorder="1"/>
    <xf numFmtId="164" fontId="2" fillId="0" borderId="3" xfId="0" applyNumberFormat="1" applyFont="1" applyBorder="1"/>
    <xf numFmtId="0" fontId="4" fillId="0" borderId="4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8" fontId="2" fillId="0" borderId="31" xfId="0" applyNumberFormat="1" applyFont="1" applyBorder="1"/>
    <xf numFmtId="169" fontId="0" fillId="0" borderId="30" xfId="0" applyNumberFormat="1" applyBorder="1"/>
    <xf numFmtId="169" fontId="0" fillId="0" borderId="31" xfId="0" applyNumberFormat="1" applyBorder="1"/>
    <xf numFmtId="168" fontId="2" fillId="0" borderId="30" xfId="0" applyNumberFormat="1" applyFont="1" applyBorder="1"/>
    <xf numFmtId="168" fontId="2" fillId="0" borderId="25" xfId="0" applyNumberFormat="1" applyFont="1" applyBorder="1"/>
    <xf numFmtId="0" fontId="0" fillId="0" borderId="37" xfId="0" applyBorder="1"/>
    <xf numFmtId="171" fontId="0" fillId="0" borderId="37" xfId="0" applyNumberFormat="1" applyBorder="1"/>
    <xf numFmtId="171" fontId="0" fillId="0" borderId="30" xfId="0" applyNumberFormat="1" applyBorder="1"/>
    <xf numFmtId="167" fontId="2" fillId="0" borderId="0" xfId="0" applyNumberFormat="1" applyFont="1"/>
    <xf numFmtId="168" fontId="2" fillId="0" borderId="0" xfId="0" applyNumberFormat="1" applyFont="1"/>
    <xf numFmtId="0" fontId="0" fillId="0" borderId="32" xfId="0" applyBorder="1" applyAlignment="1">
      <alignment horizontal="left"/>
    </xf>
    <xf numFmtId="171" fontId="5" fillId="0" borderId="30" xfId="0" applyNumberFormat="1" applyFont="1" applyBorder="1"/>
    <xf numFmtId="170" fontId="2" fillId="0" borderId="32" xfId="0" applyNumberFormat="1" applyFont="1" applyBorder="1" applyAlignment="1">
      <alignment horizontal="right"/>
    </xf>
    <xf numFmtId="170" fontId="2" fillId="0" borderId="1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72" fontId="0" fillId="0" borderId="0" xfId="0" applyNumberFormat="1"/>
    <xf numFmtId="172" fontId="0" fillId="0" borderId="0" xfId="0" applyNumberFormat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5" fillId="0" borderId="2" xfId="0" quotePrefix="1" applyFont="1" applyBorder="1"/>
    <xf numFmtId="8" fontId="0" fillId="0" borderId="0" xfId="0" applyNumberFormat="1"/>
    <xf numFmtId="8" fontId="0" fillId="0" borderId="1" xfId="0" applyNumberFormat="1" applyBorder="1"/>
    <xf numFmtId="0" fontId="5" fillId="0" borderId="16" xfId="0" applyFont="1" applyBorder="1"/>
    <xf numFmtId="8" fontId="0" fillId="0" borderId="38" xfId="0" applyNumberFormat="1" applyBorder="1"/>
    <xf numFmtId="8" fontId="2" fillId="0" borderId="39" xfId="0" applyNumberFormat="1" applyFont="1" applyBorder="1"/>
    <xf numFmtId="0" fontId="5" fillId="0" borderId="0" xfId="0" applyFont="1" applyAlignment="1">
      <alignment horizontal="right"/>
    </xf>
    <xf numFmtId="6" fontId="0" fillId="0" borderId="0" xfId="0" applyNumberFormat="1" applyAlignment="1">
      <alignment horizontal="left"/>
    </xf>
    <xf numFmtId="165" fontId="2" fillId="0" borderId="33" xfId="0" applyNumberFormat="1" applyFont="1" applyBorder="1" applyAlignment="1">
      <alignment vertical="center"/>
    </xf>
    <xf numFmtId="0" fontId="0" fillId="0" borderId="40" xfId="0" applyBorder="1"/>
    <xf numFmtId="0" fontId="5" fillId="0" borderId="41" xfId="0" applyFont="1" applyBorder="1"/>
    <xf numFmtId="0" fontId="5" fillId="0" borderId="42" xfId="0" applyFont="1" applyBorder="1"/>
    <xf numFmtId="0" fontId="0" fillId="0" borderId="41" xfId="0" applyBorder="1"/>
    <xf numFmtId="0" fontId="0" fillId="0" borderId="43" xfId="0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14" xfId="0" applyNumberFormat="1" applyBorder="1"/>
    <xf numFmtId="170" fontId="5" fillId="0" borderId="44" xfId="0" applyNumberFormat="1" applyFont="1" applyBorder="1"/>
    <xf numFmtId="170" fontId="0" fillId="0" borderId="0" xfId="0" applyNumberFormat="1"/>
    <xf numFmtId="8" fontId="0" fillId="0" borderId="30" xfId="0" applyNumberFormat="1" applyBorder="1"/>
    <xf numFmtId="0" fontId="0" fillId="0" borderId="16" xfId="0" applyBorder="1" applyAlignment="1">
      <alignment horizontal="right"/>
    </xf>
    <xf numFmtId="0" fontId="10" fillId="0" borderId="0" xfId="0" applyFont="1" applyAlignment="1">
      <alignment horizontal="center"/>
    </xf>
    <xf numFmtId="172" fontId="5" fillId="0" borderId="0" xfId="0" applyNumberFormat="1" applyFont="1"/>
    <xf numFmtId="173" fontId="0" fillId="0" borderId="0" xfId="0" applyNumberFormat="1"/>
    <xf numFmtId="0" fontId="1" fillId="0" borderId="0" xfId="0" applyFont="1"/>
    <xf numFmtId="0" fontId="0" fillId="0" borderId="37" xfId="0" applyBorder="1" applyAlignment="1">
      <alignment horizontal="right"/>
    </xf>
    <xf numFmtId="0" fontId="0" fillId="0" borderId="30" xfId="0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71" fontId="0" fillId="0" borderId="1" xfId="0" applyNumberFormat="1" applyBorder="1"/>
    <xf numFmtId="171" fontId="0" fillId="0" borderId="6" xfId="0" applyNumberFormat="1" applyBorder="1"/>
    <xf numFmtId="165" fontId="2" fillId="0" borderId="16" xfId="0" applyNumberFormat="1" applyFont="1" applyBorder="1"/>
    <xf numFmtId="165" fontId="12" fillId="0" borderId="16" xfId="0" applyNumberFormat="1" applyFont="1" applyBorder="1"/>
    <xf numFmtId="174" fontId="3" fillId="0" borderId="30" xfId="0" applyNumberFormat="1" applyFont="1" applyBorder="1"/>
    <xf numFmtId="170" fontId="2" fillId="0" borderId="37" xfId="0" applyNumberFormat="1" applyFont="1" applyBorder="1" applyAlignment="1">
      <alignment horizontal="right"/>
    </xf>
    <xf numFmtId="0" fontId="3" fillId="3" borderId="49" xfId="0" applyFont="1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5" fillId="2" borderId="49" xfId="0" applyFont="1" applyFill="1" applyBorder="1"/>
    <xf numFmtId="6" fontId="5" fillId="3" borderId="0" xfId="0" applyNumberFormat="1" applyFont="1" applyFill="1" applyAlignment="1">
      <alignment horizontal="center" vertical="center"/>
    </xf>
    <xf numFmtId="8" fontId="5" fillId="3" borderId="0" xfId="0" applyNumberFormat="1" applyFont="1" applyFill="1" applyAlignment="1">
      <alignment horizontal="center" vertical="center"/>
    </xf>
    <xf numFmtId="174" fontId="8" fillId="3" borderId="49" xfId="0" applyNumberFormat="1" applyFont="1" applyFill="1" applyBorder="1"/>
    <xf numFmtId="0" fontId="8" fillId="3" borderId="49" xfId="0" applyFont="1" applyFill="1" applyBorder="1" applyAlignment="1">
      <alignment horizontal="right"/>
    </xf>
    <xf numFmtId="8" fontId="1" fillId="3" borderId="49" xfId="0" applyNumberFormat="1" applyFont="1" applyFill="1" applyBorder="1"/>
    <xf numFmtId="0" fontId="3" fillId="0" borderId="16" xfId="0" applyFont="1" applyBorder="1" applyAlignment="1">
      <alignment horizontal="right"/>
    </xf>
    <xf numFmtId="171" fontId="0" fillId="0" borderId="5" xfId="0" applyNumberFormat="1" applyBorder="1"/>
    <xf numFmtId="171" fontId="0" fillId="0" borderId="0" xfId="0" applyNumberFormat="1"/>
    <xf numFmtId="171" fontId="5" fillId="0" borderId="0" xfId="0" applyNumberFormat="1" applyFont="1"/>
    <xf numFmtId="0" fontId="1" fillId="0" borderId="2" xfId="0" applyFont="1" applyBorder="1" applyAlignment="1">
      <alignment horizontal="right"/>
    </xf>
    <xf numFmtId="171" fontId="1" fillId="0" borderId="1" xfId="0" applyNumberFormat="1" applyFont="1" applyBorder="1"/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right"/>
    </xf>
    <xf numFmtId="171" fontId="5" fillId="0" borderId="1" xfId="0" applyNumberFormat="1" applyFont="1" applyBorder="1"/>
    <xf numFmtId="0" fontId="2" fillId="3" borderId="33" xfId="0" applyFont="1" applyFill="1" applyBorder="1" applyAlignment="1">
      <alignment horizontal="right"/>
    </xf>
    <xf numFmtId="171" fontId="2" fillId="3" borderId="49" xfId="0" applyNumberFormat="1" applyFont="1" applyFill="1" applyBorder="1"/>
    <xf numFmtId="0" fontId="3" fillId="0" borderId="37" xfId="0" applyFont="1" applyBorder="1" applyAlignment="1">
      <alignment horizontal="right"/>
    </xf>
    <xf numFmtId="174" fontId="3" fillId="0" borderId="37" xfId="0" applyNumberFormat="1" applyFont="1" applyBorder="1"/>
    <xf numFmtId="0" fontId="1" fillId="3" borderId="16" xfId="0" applyFont="1" applyFill="1" applyBorder="1" applyAlignment="1">
      <alignment horizontal="right"/>
    </xf>
    <xf numFmtId="171" fontId="0" fillId="0" borderId="2" xfId="0" applyNumberFormat="1" applyBorder="1"/>
    <xf numFmtId="0" fontId="2" fillId="0" borderId="0" xfId="0" applyFont="1"/>
    <xf numFmtId="0" fontId="3" fillId="0" borderId="2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71" fontId="1" fillId="0" borderId="32" xfId="0" applyNumberFormat="1" applyFont="1" applyBorder="1"/>
    <xf numFmtId="171" fontId="2" fillId="0" borderId="2" xfId="0" applyNumberFormat="1" applyFont="1" applyBorder="1"/>
    <xf numFmtId="171" fontId="1" fillId="0" borderId="2" xfId="0" applyNumberFormat="1" applyFont="1" applyBorder="1"/>
    <xf numFmtId="0" fontId="1" fillId="0" borderId="2" xfId="0" applyFont="1" applyBorder="1"/>
    <xf numFmtId="0" fontId="1" fillId="4" borderId="2" xfId="0" applyFont="1" applyFill="1" applyBorder="1" applyAlignment="1">
      <alignment horizontal="right"/>
    </xf>
    <xf numFmtId="171" fontId="1" fillId="4" borderId="2" xfId="0" applyNumberFormat="1" applyFont="1" applyFill="1" applyBorder="1"/>
    <xf numFmtId="171" fontId="1" fillId="3" borderId="3" xfId="0" applyNumberFormat="1" applyFont="1" applyFill="1" applyBorder="1"/>
    <xf numFmtId="0" fontId="8" fillId="0" borderId="0" xfId="0" applyFont="1"/>
    <xf numFmtId="174" fontId="3" fillId="0" borderId="2" xfId="0" applyNumberFormat="1" applyFont="1" applyBorder="1"/>
    <xf numFmtId="174" fontId="3" fillId="0" borderId="16" xfId="0" applyNumberFormat="1" applyFont="1" applyBorder="1"/>
    <xf numFmtId="165" fontId="2" fillId="0" borderId="33" xfId="0" applyNumberFormat="1" applyFont="1" applyBorder="1"/>
    <xf numFmtId="0" fontId="8" fillId="3" borderId="16" xfId="0" applyFont="1" applyFill="1" applyBorder="1" applyAlignment="1">
      <alignment horizontal="right"/>
    </xf>
    <xf numFmtId="174" fontId="8" fillId="3" borderId="32" xfId="0" applyNumberFormat="1" applyFont="1" applyFill="1" applyBorder="1"/>
    <xf numFmtId="171" fontId="5" fillId="0" borderId="2" xfId="0" applyNumberFormat="1" applyFont="1" applyBorder="1"/>
    <xf numFmtId="171" fontId="1" fillId="0" borderId="16" xfId="0" applyNumberFormat="1" applyFont="1" applyBorder="1"/>
    <xf numFmtId="171" fontId="2" fillId="3" borderId="33" xfId="0" applyNumberFormat="1" applyFont="1" applyFill="1" applyBorder="1"/>
    <xf numFmtId="171" fontId="1" fillId="0" borderId="30" xfId="0" applyNumberFormat="1" applyFont="1" applyBorder="1"/>
    <xf numFmtId="8" fontId="0" fillId="0" borderId="2" xfId="0" applyNumberFormat="1" applyBorder="1"/>
    <xf numFmtId="8" fontId="0" fillId="0" borderId="16" xfId="0" applyNumberFormat="1" applyBorder="1"/>
    <xf numFmtId="8" fontId="1" fillId="3" borderId="33" xfId="0" applyNumberFormat="1" applyFont="1" applyFill="1" applyBorder="1"/>
    <xf numFmtId="171" fontId="1" fillId="3" borderId="16" xfId="0" applyNumberFormat="1" applyFont="1" applyFill="1" applyBorder="1"/>
    <xf numFmtId="8" fontId="1" fillId="3" borderId="16" xfId="0" applyNumberFormat="1" applyFont="1" applyFill="1" applyBorder="1"/>
    <xf numFmtId="0" fontId="2" fillId="5" borderId="8" xfId="0" applyFont="1" applyFill="1" applyBorder="1"/>
    <xf numFmtId="0" fontId="2" fillId="5" borderId="22" xfId="0" applyFont="1" applyFill="1" applyBorder="1"/>
    <xf numFmtId="0" fontId="2" fillId="5" borderId="0" xfId="0" applyFont="1" applyFill="1"/>
    <xf numFmtId="0" fontId="1" fillId="5" borderId="4" xfId="0" applyFont="1" applyFill="1" applyBorder="1" applyAlignment="1">
      <alignment horizontal="right"/>
    </xf>
    <xf numFmtId="9" fontId="3" fillId="5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68" fontId="5" fillId="5" borderId="0" xfId="0" applyNumberFormat="1" applyFont="1" applyFill="1"/>
    <xf numFmtId="170" fontId="2" fillId="5" borderId="6" xfId="0" applyNumberFormat="1" applyFont="1" applyFill="1" applyBorder="1" applyAlignment="1">
      <alignment horizontal="right"/>
    </xf>
    <xf numFmtId="175" fontId="11" fillId="5" borderId="0" xfId="0" applyNumberFormat="1" applyFont="1" applyFill="1"/>
    <xf numFmtId="168" fontId="11" fillId="5" borderId="0" xfId="0" applyNumberFormat="1" applyFont="1" applyFill="1"/>
    <xf numFmtId="175" fontId="5" fillId="5" borderId="0" xfId="0" applyNumberFormat="1" applyFont="1" applyFill="1"/>
    <xf numFmtId="164" fontId="5" fillId="5" borderId="31" xfId="0" applyNumberFormat="1" applyFont="1" applyFill="1" applyBorder="1"/>
    <xf numFmtId="164" fontId="5" fillId="5" borderId="30" xfId="0" applyNumberFormat="1" applyFont="1" applyFill="1" applyBorder="1"/>
    <xf numFmtId="170" fontId="5" fillId="5" borderId="2" xfId="0" applyNumberFormat="1" applyFont="1" applyFill="1" applyBorder="1"/>
    <xf numFmtId="170" fontId="5" fillId="5" borderId="5" xfId="0" applyNumberFormat="1" applyFont="1" applyFill="1" applyBorder="1" applyAlignment="1">
      <alignment vertical="center"/>
    </xf>
    <xf numFmtId="172" fontId="3" fillId="5" borderId="0" xfId="0" applyNumberFormat="1" applyFont="1" applyFill="1"/>
    <xf numFmtId="164" fontId="0" fillId="5" borderId="0" xfId="0" applyNumberFormat="1" applyFill="1"/>
    <xf numFmtId="166" fontId="5" fillId="5" borderId="30" xfId="0" applyNumberFormat="1" applyFont="1" applyFill="1" applyBorder="1"/>
    <xf numFmtId="166" fontId="5" fillId="5" borderId="31" xfId="0" applyNumberFormat="1" applyFont="1" applyFill="1" applyBorder="1"/>
    <xf numFmtId="0" fontId="2" fillId="5" borderId="4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171" fontId="12" fillId="3" borderId="37" xfId="0" applyNumberFormat="1" applyFont="1" applyFill="1" applyBorder="1" applyAlignment="1">
      <alignment horizontal="center" vertical="center"/>
    </xf>
    <xf numFmtId="171" fontId="12" fillId="3" borderId="30" xfId="0" applyNumberFormat="1" applyFont="1" applyFill="1" applyBorder="1" applyAlignment="1">
      <alignment horizontal="center" vertical="center"/>
    </xf>
    <xf numFmtId="171" fontId="12" fillId="3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0" fillId="2" borderId="5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6" fontId="2" fillId="3" borderId="37" xfId="0" applyNumberFormat="1" applyFont="1" applyFill="1" applyBorder="1" applyAlignment="1">
      <alignment horizontal="center" vertical="center"/>
    </xf>
    <xf numFmtId="6" fontId="2" fillId="3" borderId="30" xfId="0" applyNumberFormat="1" applyFont="1" applyFill="1" applyBorder="1" applyAlignment="1">
      <alignment horizontal="center" vertical="center"/>
    </xf>
    <xf numFmtId="6" fontId="2" fillId="3" borderId="3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1"/>
  <sheetViews>
    <sheetView tabSelected="1" zoomScale="80" zoomScaleNormal="80" workbookViewId="0"/>
  </sheetViews>
  <sheetFormatPr defaultRowHeight="12.75" x14ac:dyDescent="0.2"/>
  <cols>
    <col min="1" max="1" width="41.140625" customWidth="1"/>
    <col min="2" max="3" width="11.28515625" customWidth="1"/>
    <col min="4" max="4" width="14.140625" customWidth="1"/>
    <col min="5" max="5" width="13.140625" customWidth="1"/>
    <col min="6" max="7" width="11.28515625" customWidth="1"/>
    <col min="8" max="8" width="14.140625" customWidth="1"/>
    <col min="9" max="9" width="14.85546875" customWidth="1"/>
    <col min="10" max="11" width="11.28515625" customWidth="1"/>
    <col min="12" max="12" width="12" customWidth="1"/>
    <col min="13" max="13" width="11.28515625" customWidth="1"/>
    <col min="14" max="14" width="1.28515625" customWidth="1"/>
    <col min="15" max="15" width="9.140625" customWidth="1"/>
  </cols>
  <sheetData>
    <row r="1" spans="1:20" x14ac:dyDescent="0.2">
      <c r="A1" s="21" t="s">
        <v>122</v>
      </c>
      <c r="B1" s="230" t="s">
        <v>8</v>
      </c>
      <c r="C1" s="230"/>
      <c r="D1" s="231"/>
      <c r="E1" s="232" t="s">
        <v>9</v>
      </c>
      <c r="F1" s="230"/>
      <c r="G1" s="231"/>
      <c r="H1" s="232" t="s">
        <v>10</v>
      </c>
      <c r="I1" s="230"/>
      <c r="J1" s="231"/>
      <c r="K1" s="230" t="s">
        <v>33</v>
      </c>
      <c r="L1" s="230"/>
      <c r="M1" s="239"/>
    </row>
    <row r="2" spans="1:20" ht="13.5" thickBot="1" x14ac:dyDescent="0.25">
      <c r="A2" s="203" t="s">
        <v>141</v>
      </c>
      <c r="B2" s="10"/>
      <c r="C2" s="10"/>
      <c r="D2" s="11"/>
      <c r="E2" s="9"/>
      <c r="F2" s="14"/>
      <c r="G2" s="11"/>
      <c r="H2" s="9"/>
      <c r="I2" s="14"/>
      <c r="J2" s="11"/>
      <c r="K2" s="10"/>
      <c r="L2" s="14"/>
      <c r="M2" s="23"/>
    </row>
    <row r="3" spans="1:20" x14ac:dyDescent="0.2">
      <c r="A3" s="24" t="s">
        <v>6</v>
      </c>
      <c r="B3" s="6"/>
      <c r="C3" s="209">
        <v>14091</v>
      </c>
      <c r="D3" s="5"/>
      <c r="E3" s="3"/>
      <c r="F3" s="209">
        <v>41289</v>
      </c>
      <c r="G3" s="5"/>
      <c r="H3" s="69"/>
      <c r="I3" s="209">
        <v>190222</v>
      </c>
      <c r="J3" s="5"/>
      <c r="K3" s="3"/>
      <c r="L3" s="209">
        <v>72903</v>
      </c>
      <c r="M3" s="25"/>
      <c r="N3" s="3"/>
      <c r="O3" s="2"/>
      <c r="P3" s="114"/>
      <c r="T3" s="3"/>
    </row>
    <row r="4" spans="1:20" x14ac:dyDescent="0.2">
      <c r="A4" s="32" t="s">
        <v>21</v>
      </c>
      <c r="B4" s="9"/>
      <c r="C4" s="33">
        <f>B29</f>
        <v>184560.64800000002</v>
      </c>
      <c r="D4" s="11"/>
      <c r="E4" s="14"/>
      <c r="F4" s="33">
        <f>C29</f>
        <v>548315.46409583336</v>
      </c>
      <c r="G4" s="11"/>
      <c r="H4" s="14"/>
      <c r="I4" s="33">
        <f>D29</f>
        <v>4278732.1721052639</v>
      </c>
      <c r="J4" s="11"/>
      <c r="K4" s="14"/>
      <c r="L4" s="33">
        <f>E29</f>
        <v>1456904.3912985295</v>
      </c>
      <c r="M4" s="23"/>
      <c r="N4" s="3"/>
      <c r="O4" s="2"/>
      <c r="P4" s="114" t="s">
        <v>83</v>
      </c>
      <c r="T4" s="3"/>
    </row>
    <row r="5" spans="1:20" x14ac:dyDescent="0.2">
      <c r="A5" s="24" t="s">
        <v>20</v>
      </c>
      <c r="B5" s="6"/>
      <c r="C5" s="20">
        <f>C4*(1+$O5)</f>
        <v>201171.10632000002</v>
      </c>
      <c r="D5" s="5"/>
      <c r="E5" s="3"/>
      <c r="F5" s="20">
        <f>F4*(1+$O5)</f>
        <v>597663.85586445837</v>
      </c>
      <c r="G5" s="5"/>
      <c r="H5" s="3"/>
      <c r="I5" s="20">
        <f>I4*(1+$O5)</f>
        <v>4663818.0675947377</v>
      </c>
      <c r="J5" s="5"/>
      <c r="K5" s="3"/>
      <c r="L5" s="20">
        <f>L4*(1+$O5)</f>
        <v>1588025.7865153973</v>
      </c>
      <c r="M5" s="25"/>
      <c r="N5" s="3"/>
      <c r="O5" s="207">
        <v>0.09</v>
      </c>
      <c r="P5" s="2" t="s">
        <v>84</v>
      </c>
      <c r="Q5" s="2"/>
      <c r="T5" s="3"/>
    </row>
    <row r="6" spans="1:20" x14ac:dyDescent="0.2">
      <c r="A6" s="24" t="s">
        <v>1</v>
      </c>
      <c r="B6" s="6"/>
      <c r="D6" s="12">
        <f>+C5/+C3</f>
        <v>14.276567051309348</v>
      </c>
      <c r="E6" s="3"/>
      <c r="F6" s="3"/>
      <c r="G6" s="12">
        <f>F5/F3</f>
        <v>14.475135165890634</v>
      </c>
      <c r="H6" s="3"/>
      <c r="I6" s="3"/>
      <c r="J6" s="12">
        <f>I5/I3</f>
        <v>24.517763810677721</v>
      </c>
      <c r="K6" s="3"/>
      <c r="L6" s="3"/>
      <c r="M6" s="26">
        <f>L5/L3</f>
        <v>21.78272206240343</v>
      </c>
      <c r="N6" s="3"/>
      <c r="O6" s="2"/>
      <c r="T6" s="3"/>
    </row>
    <row r="7" spans="1:20" x14ac:dyDescent="0.2">
      <c r="A7" s="24" t="s">
        <v>0</v>
      </c>
      <c r="B7" s="6"/>
      <c r="D7" s="12">
        <f>D6*$O7</f>
        <v>14.276567051309348</v>
      </c>
      <c r="E7" s="3"/>
      <c r="F7" s="3"/>
      <c r="G7" s="12">
        <f>G6*$O7</f>
        <v>14.475135165890634</v>
      </c>
      <c r="H7" s="3"/>
      <c r="I7" s="3"/>
      <c r="J7" s="12">
        <f>J6*$O7</f>
        <v>24.517763810677721</v>
      </c>
      <c r="K7" s="3"/>
      <c r="L7" s="3"/>
      <c r="M7" s="26">
        <f>M6*$O7</f>
        <v>21.78272206240343</v>
      </c>
      <c r="N7" s="3"/>
      <c r="O7" s="207">
        <v>1</v>
      </c>
      <c r="P7" s="2" t="s">
        <v>103</v>
      </c>
      <c r="T7" s="3"/>
    </row>
    <row r="8" spans="1:20" ht="12" customHeight="1" x14ac:dyDescent="0.2">
      <c r="A8" s="24" t="s">
        <v>3</v>
      </c>
      <c r="B8" s="16">
        <f>D6-D7</f>
        <v>0</v>
      </c>
      <c r="D8" s="5"/>
      <c r="E8" s="7">
        <f>G6-G7</f>
        <v>0</v>
      </c>
      <c r="G8" s="5"/>
      <c r="H8" s="7">
        <f>J6-J7</f>
        <v>0</v>
      </c>
      <c r="J8" s="5"/>
      <c r="K8" s="7">
        <f>M6-M7</f>
        <v>0</v>
      </c>
      <c r="M8" s="25"/>
      <c r="N8" s="3"/>
      <c r="O8" s="2"/>
      <c r="T8" s="3"/>
    </row>
    <row r="9" spans="1:20" x14ac:dyDescent="0.2">
      <c r="A9" s="24" t="s">
        <v>53</v>
      </c>
      <c r="B9" s="216">
        <v>2.494872922142743</v>
      </c>
      <c r="D9" s="5"/>
      <c r="E9" s="216">
        <v>2.7556860356532695</v>
      </c>
      <c r="G9" s="5"/>
      <c r="H9" s="216">
        <v>2.8969755592456496</v>
      </c>
      <c r="J9" s="5"/>
      <c r="K9" s="216">
        <v>2.7023276210861433</v>
      </c>
      <c r="M9" s="25"/>
      <c r="N9" s="3"/>
      <c r="O9" s="2"/>
      <c r="P9" s="2"/>
      <c r="T9" s="3"/>
    </row>
    <row r="10" spans="1:20" x14ac:dyDescent="0.2">
      <c r="A10" s="24" t="s">
        <v>35</v>
      </c>
      <c r="B10" s="191">
        <f>B9*B8</f>
        <v>0</v>
      </c>
      <c r="D10" s="5"/>
      <c r="E10" s="191">
        <f>E9*E8</f>
        <v>0</v>
      </c>
      <c r="G10" s="5"/>
      <c r="H10" s="191">
        <f>H9*H8</f>
        <v>0</v>
      </c>
      <c r="J10" s="5"/>
      <c r="K10" s="70">
        <f>K9*K8</f>
        <v>0</v>
      </c>
      <c r="M10" s="25"/>
      <c r="N10" s="3"/>
      <c r="O10" s="2"/>
      <c r="T10" s="3"/>
    </row>
    <row r="11" spans="1:20" x14ac:dyDescent="0.2">
      <c r="A11" s="32" t="s">
        <v>52</v>
      </c>
      <c r="B11" s="216">
        <v>1.6812628020068878</v>
      </c>
      <c r="C11" s="34"/>
      <c r="D11" s="35"/>
      <c r="E11" s="216">
        <v>1.0730681597725529</v>
      </c>
      <c r="F11" s="34"/>
      <c r="G11" s="35"/>
      <c r="H11" s="216">
        <v>1.3096015759328106</v>
      </c>
      <c r="I11" s="34"/>
      <c r="J11" s="35"/>
      <c r="K11" s="217">
        <v>1.358005567543731</v>
      </c>
      <c r="L11" s="34"/>
      <c r="M11" s="36"/>
      <c r="O11" s="2"/>
      <c r="P11" s="2"/>
      <c r="T11" s="3"/>
    </row>
    <row r="12" spans="1:20" x14ac:dyDescent="0.2">
      <c r="A12" s="24" t="s">
        <v>0</v>
      </c>
      <c r="B12" s="6"/>
      <c r="D12" s="12">
        <f>D6*$O12</f>
        <v>2.8553134102618696</v>
      </c>
      <c r="E12" s="3"/>
      <c r="F12" s="3"/>
      <c r="G12" s="12">
        <f>G6*$O12</f>
        <v>2.8950270331781272</v>
      </c>
      <c r="H12" s="3"/>
      <c r="I12" s="3"/>
      <c r="J12" s="12">
        <f>J6*$O12</f>
        <v>4.9035527621355444</v>
      </c>
      <c r="K12" s="3"/>
      <c r="L12" s="3"/>
      <c r="M12" s="26">
        <f>M6*$O12</f>
        <v>4.3565444124806865</v>
      </c>
      <c r="N12" s="3"/>
      <c r="O12" s="207">
        <v>0.2</v>
      </c>
      <c r="P12" s="2" t="s">
        <v>90</v>
      </c>
      <c r="T12" s="3"/>
    </row>
    <row r="13" spans="1:20" x14ac:dyDescent="0.2">
      <c r="A13" s="24" t="s">
        <v>3</v>
      </c>
      <c r="B13" s="16">
        <f>+D6-D12</f>
        <v>11.421253641047478</v>
      </c>
      <c r="D13" s="5"/>
      <c r="E13" s="16">
        <f>+G6-G12</f>
        <v>11.580108132712507</v>
      </c>
      <c r="G13" s="5"/>
      <c r="H13" s="16">
        <f>+J6-J12</f>
        <v>19.614211048542177</v>
      </c>
      <c r="J13" s="5"/>
      <c r="K13" s="16">
        <f>+M6-M12</f>
        <v>17.426177649922742</v>
      </c>
      <c r="M13" s="25"/>
      <c r="N13" s="3"/>
      <c r="O13" s="2"/>
      <c r="T13" s="3"/>
    </row>
    <row r="14" spans="1:20" x14ac:dyDescent="0.2">
      <c r="A14" s="24" t="s">
        <v>36</v>
      </c>
      <c r="B14" s="19">
        <f>B11*B13</f>
        <v>19.202128898978852</v>
      </c>
      <c r="C14" s="66"/>
      <c r="D14" s="67"/>
      <c r="E14" s="19">
        <f>E11*E13</f>
        <v>12.426245323936984</v>
      </c>
      <c r="F14" s="66"/>
      <c r="G14" s="67"/>
      <c r="H14" s="19">
        <f>H11*H13</f>
        <v>25.686801699849582</v>
      </c>
      <c r="I14" s="66"/>
      <c r="J14" s="67"/>
      <c r="K14" s="19">
        <f>K11*K13</f>
        <v>23.664846269601213</v>
      </c>
      <c r="L14" s="66"/>
      <c r="M14" s="68"/>
      <c r="O14" s="2"/>
      <c r="P14" s="2"/>
      <c r="T14" s="3"/>
    </row>
    <row r="15" spans="1:20" x14ac:dyDescent="0.2">
      <c r="A15" s="24" t="s">
        <v>37</v>
      </c>
      <c r="B15" s="71">
        <f>B10+B14</f>
        <v>19.202128898978852</v>
      </c>
      <c r="C15" s="66"/>
      <c r="D15" s="67"/>
      <c r="E15" s="71">
        <f>E10+E14</f>
        <v>12.426245323936984</v>
      </c>
      <c r="F15" s="66"/>
      <c r="G15" s="67"/>
      <c r="H15" s="71">
        <f>H10+H14</f>
        <v>25.686801699849582</v>
      </c>
      <c r="I15" s="66"/>
      <c r="J15" s="67"/>
      <c r="K15" s="71">
        <f>K10+K14</f>
        <v>23.664846269601213</v>
      </c>
      <c r="L15" s="66"/>
      <c r="M15" s="68"/>
      <c r="O15" s="2"/>
      <c r="P15" s="2"/>
      <c r="T15" s="3"/>
    </row>
    <row r="16" spans="1:20" x14ac:dyDescent="0.2">
      <c r="A16" s="47" t="s">
        <v>22</v>
      </c>
      <c r="B16" s="45"/>
      <c r="C16" s="46">
        <f>B30</f>
        <v>142460.5814</v>
      </c>
      <c r="D16" s="13"/>
      <c r="E16" s="45"/>
      <c r="F16" s="46">
        <f>C30</f>
        <v>533672.10692916659</v>
      </c>
      <c r="G16" s="13"/>
      <c r="H16" s="45"/>
      <c r="I16" s="46">
        <f>D30</f>
        <v>2152384.2078947369</v>
      </c>
      <c r="J16" s="13"/>
      <c r="K16" s="45"/>
      <c r="L16" s="46">
        <f>E30</f>
        <v>842131.5448720589</v>
      </c>
      <c r="M16" s="28"/>
      <c r="N16" s="3"/>
      <c r="P16" s="114" t="s">
        <v>83</v>
      </c>
      <c r="T16" s="3"/>
    </row>
    <row r="17" spans="1:20" x14ac:dyDescent="0.2">
      <c r="A17" s="24" t="s">
        <v>19</v>
      </c>
      <c r="B17" s="7"/>
      <c r="C17" s="20">
        <f>C16*(1+$O17)</f>
        <v>168103.48605199999</v>
      </c>
      <c r="D17" s="5"/>
      <c r="E17" s="7"/>
      <c r="F17" s="20">
        <f>F16*(1+$O17)</f>
        <v>629733.08617641649</v>
      </c>
      <c r="G17" s="5"/>
      <c r="H17" s="7"/>
      <c r="I17" s="20">
        <f>I16*(1+$O17)</f>
        <v>2539813.3653157894</v>
      </c>
      <c r="J17" s="5"/>
      <c r="K17" s="7"/>
      <c r="L17" s="20">
        <f>L16*(1+$O17)</f>
        <v>993715.22294902941</v>
      </c>
      <c r="M17" s="25"/>
      <c r="N17" s="3"/>
      <c r="O17" s="208">
        <v>0.18</v>
      </c>
      <c r="P17" s="2" t="s">
        <v>23</v>
      </c>
      <c r="T17" s="3"/>
    </row>
    <row r="18" spans="1:20" x14ac:dyDescent="0.2">
      <c r="A18" s="24" t="s">
        <v>32</v>
      </c>
      <c r="B18" s="7"/>
      <c r="D18" s="4">
        <f>C17/SUM(C3,B40:B42,'Convenant 2026 vrijwilligers'!B34:B35)</f>
        <v>7.9893165092323555</v>
      </c>
      <c r="E18" s="7"/>
      <c r="G18" s="4">
        <f>F17/SUM(F3,C40:C42,'Convenant 2026 vrijwilligers'!C34:C35)</f>
        <v>12.595057184604906</v>
      </c>
      <c r="H18" s="7"/>
      <c r="J18" s="4">
        <f>I17/SUM(I3,D40:D42,'Convenant 2026 vrijwilligers'!D34:D35)</f>
        <v>11.674590653430085</v>
      </c>
      <c r="K18" s="7"/>
      <c r="M18" s="26">
        <f>L17/SUM(L3,E40:E42,'Convenant 2026 vrijwilligers'!E34:E35)</f>
        <v>11.535414056428234</v>
      </c>
      <c r="N18" s="3"/>
      <c r="O18" s="2"/>
      <c r="P18" s="2" t="s">
        <v>62</v>
      </c>
      <c r="T18" s="3"/>
    </row>
    <row r="19" spans="1:20" x14ac:dyDescent="0.2">
      <c r="A19" s="24" t="s">
        <v>0</v>
      </c>
      <c r="B19" s="7"/>
      <c r="D19" s="12">
        <f>D18*$O19</f>
        <v>7.9893165092323555</v>
      </c>
      <c r="E19" s="7"/>
      <c r="G19" s="12">
        <f>G18*$O19</f>
        <v>12.595057184604906</v>
      </c>
      <c r="H19" s="7"/>
      <c r="J19" s="12">
        <f>J18*$O19</f>
        <v>11.674590653430085</v>
      </c>
      <c r="K19" s="7"/>
      <c r="M19" s="26">
        <f>M18*$O19</f>
        <v>11.535414056428234</v>
      </c>
      <c r="N19" s="3"/>
      <c r="O19" s="207">
        <v>1</v>
      </c>
      <c r="P19" s="2" t="str">
        <f>P7</f>
        <v>WKR vrijgesteld</v>
      </c>
      <c r="T19" s="3"/>
    </row>
    <row r="20" spans="1:20" x14ac:dyDescent="0.2">
      <c r="A20" s="24" t="s">
        <v>39</v>
      </c>
      <c r="B20" s="15">
        <f>D18-D19</f>
        <v>0</v>
      </c>
      <c r="D20" s="5"/>
      <c r="E20" s="15">
        <f>G18-G19</f>
        <v>0</v>
      </c>
      <c r="G20" s="5"/>
      <c r="H20" s="15">
        <f>J18-J19</f>
        <v>0</v>
      </c>
      <c r="J20" s="5"/>
      <c r="K20" s="15">
        <f>M18-M19</f>
        <v>0</v>
      </c>
      <c r="M20" s="25"/>
      <c r="N20" s="3"/>
      <c r="O20" s="2"/>
      <c r="T20" s="3"/>
    </row>
    <row r="21" spans="1:20" x14ac:dyDescent="0.2">
      <c r="A21" s="24" t="s">
        <v>48</v>
      </c>
      <c r="B21" s="92">
        <f>D18*C21</f>
        <v>6.7829297163382698</v>
      </c>
      <c r="C21" s="218">
        <v>0.84899999999999998</v>
      </c>
      <c r="D21" s="5"/>
      <c r="E21" s="92">
        <f>G18*F21</f>
        <v>10.642823320991145</v>
      </c>
      <c r="F21" s="218">
        <v>0.84499999999999997</v>
      </c>
      <c r="G21" s="5"/>
      <c r="H21" s="92">
        <f>J18*I21</f>
        <v>10.343687318939056</v>
      </c>
      <c r="I21" s="218">
        <v>0.88600000000000001</v>
      </c>
      <c r="J21" s="5"/>
      <c r="K21" s="92">
        <f>M18*L21</f>
        <v>9.5397874246661498</v>
      </c>
      <c r="L21" s="218">
        <v>0.82699999999999996</v>
      </c>
      <c r="M21" s="25"/>
      <c r="N21" s="3"/>
      <c r="O21" s="2"/>
      <c r="P21" s="114"/>
      <c r="T21" s="3"/>
    </row>
    <row r="22" spans="1:20" x14ac:dyDescent="0.2">
      <c r="A22" s="24" t="s">
        <v>49</v>
      </c>
      <c r="B22" s="15">
        <f>MAX(B20-B21,0)</f>
        <v>0</v>
      </c>
      <c r="D22" s="5"/>
      <c r="E22" s="15">
        <f>MAX(E20-E21,0)</f>
        <v>0</v>
      </c>
      <c r="G22" s="5"/>
      <c r="H22" s="15">
        <f>MAX(H20-H21,0)</f>
        <v>0</v>
      </c>
      <c r="J22" s="5"/>
      <c r="K22" s="15">
        <f>MAX(K20-K21,0)</f>
        <v>0</v>
      </c>
      <c r="M22" s="25"/>
      <c r="N22" s="3"/>
      <c r="O22" s="2" t="s">
        <v>104</v>
      </c>
      <c r="Q22" s="2"/>
      <c r="T22" s="3"/>
    </row>
    <row r="23" spans="1:20" x14ac:dyDescent="0.2">
      <c r="A23" s="24" t="s">
        <v>2</v>
      </c>
      <c r="B23" s="57">
        <f>B9</f>
        <v>2.494872922142743</v>
      </c>
      <c r="D23" s="5"/>
      <c r="E23" s="57">
        <f>E9</f>
        <v>2.7556860356532695</v>
      </c>
      <c r="G23" s="5"/>
      <c r="H23" s="57">
        <f>H9</f>
        <v>2.8969755592456496</v>
      </c>
      <c r="J23" s="5"/>
      <c r="K23" s="57">
        <f>K9</f>
        <v>2.7023276210861433</v>
      </c>
      <c r="M23" s="25"/>
      <c r="N23" s="3"/>
      <c r="P23" s="2"/>
      <c r="T23" s="3"/>
    </row>
    <row r="24" spans="1:20" x14ac:dyDescent="0.2">
      <c r="A24" s="24" t="s">
        <v>38</v>
      </c>
      <c r="B24" s="74">
        <f>B23*B22</f>
        <v>0</v>
      </c>
      <c r="D24" s="5"/>
      <c r="E24" s="74">
        <f>E23*E22</f>
        <v>0</v>
      </c>
      <c r="G24" s="5"/>
      <c r="H24" s="74">
        <f>H23*H22</f>
        <v>0</v>
      </c>
      <c r="J24" s="5"/>
      <c r="K24" s="74">
        <f>K23*K22</f>
        <v>0</v>
      </c>
      <c r="M24" s="25"/>
      <c r="N24" s="3"/>
      <c r="O24" s="2"/>
      <c r="T24" s="3"/>
    </row>
    <row r="25" spans="1:20" x14ac:dyDescent="0.2">
      <c r="A25" s="24" t="s">
        <v>37</v>
      </c>
      <c r="B25" s="71">
        <f>B10+B24</f>
        <v>0</v>
      </c>
      <c r="C25" s="66"/>
      <c r="D25" s="67"/>
      <c r="E25" s="71">
        <f>E10+E24</f>
        <v>0</v>
      </c>
      <c r="F25" s="66"/>
      <c r="G25" s="67"/>
      <c r="H25" s="71">
        <f>H10+H24</f>
        <v>0</v>
      </c>
      <c r="I25" s="66"/>
      <c r="J25" s="67"/>
      <c r="K25" s="71">
        <f>K10+K24</f>
        <v>0</v>
      </c>
      <c r="L25" s="66"/>
      <c r="M25" s="68"/>
      <c r="O25" s="2"/>
      <c r="P25" s="2"/>
      <c r="T25" s="3"/>
    </row>
    <row r="26" spans="1:20" ht="13.5" thickBot="1" x14ac:dyDescent="0.25">
      <c r="A26" s="88" t="s">
        <v>40</v>
      </c>
      <c r="B26" s="89">
        <f>SUM(B10,B14,B24)</f>
        <v>19.202128898978852</v>
      </c>
      <c r="C26" s="90"/>
      <c r="D26" s="56"/>
      <c r="E26" s="89">
        <f>SUM(E10,E14,E24)</f>
        <v>12.426245323936984</v>
      </c>
      <c r="F26" s="90"/>
      <c r="G26" s="56"/>
      <c r="H26" s="89">
        <f>SUM(H10,H14,H24)</f>
        <v>25.686801699849582</v>
      </c>
      <c r="I26" s="90"/>
      <c r="J26" s="56"/>
      <c r="K26" s="89">
        <f>SUM(K10,K14,K24)</f>
        <v>23.664846269601213</v>
      </c>
      <c r="L26" s="90"/>
      <c r="M26" s="91"/>
      <c r="N26" s="3"/>
      <c r="O26" s="2"/>
      <c r="T26" s="3"/>
    </row>
    <row r="27" spans="1:20" ht="13.5" thickBot="1" x14ac:dyDescent="0.25"/>
    <row r="28" spans="1:20" x14ac:dyDescent="0.2">
      <c r="A28" s="204" t="s">
        <v>142</v>
      </c>
      <c r="B28" s="61" t="s">
        <v>11</v>
      </c>
      <c r="C28" s="61" t="s">
        <v>12</v>
      </c>
      <c r="D28" s="61" t="s">
        <v>13</v>
      </c>
      <c r="E28" s="62" t="s">
        <v>34</v>
      </c>
      <c r="F28" s="65"/>
      <c r="H28" s="236" t="s">
        <v>41</v>
      </c>
      <c r="I28" s="237"/>
      <c r="J28" s="237"/>
      <c r="K28" s="237"/>
      <c r="L28" s="238"/>
    </row>
    <row r="29" spans="1:20" x14ac:dyDescent="0.2">
      <c r="A29" s="72" t="s">
        <v>87</v>
      </c>
      <c r="B29" s="215">
        <v>184560.64800000002</v>
      </c>
      <c r="C29" s="215">
        <v>548315.46409583336</v>
      </c>
      <c r="D29" s="215">
        <v>4278732.1721052639</v>
      </c>
      <c r="E29" s="214">
        <v>1456904.3912985295</v>
      </c>
      <c r="H29" s="87" t="s">
        <v>33</v>
      </c>
      <c r="I29" s="86" t="s">
        <v>8</v>
      </c>
      <c r="J29" s="86" t="s">
        <v>9</v>
      </c>
      <c r="K29" s="86" t="s">
        <v>10</v>
      </c>
      <c r="L29" s="154" t="s">
        <v>105</v>
      </c>
    </row>
    <row r="30" spans="1:20" x14ac:dyDescent="0.2">
      <c r="A30" s="72" t="s">
        <v>88</v>
      </c>
      <c r="B30" s="215">
        <v>142460.5814</v>
      </c>
      <c r="C30" s="215">
        <v>533672.10692916659</v>
      </c>
      <c r="D30" s="215">
        <v>2152384.2078947369</v>
      </c>
      <c r="E30" s="214">
        <v>842131.5448720589</v>
      </c>
      <c r="H30" s="15">
        <f>K10</f>
        <v>0</v>
      </c>
      <c r="I30" s="15">
        <f>B10</f>
        <v>0</v>
      </c>
      <c r="J30" s="15">
        <f>E10</f>
        <v>0</v>
      </c>
      <c r="K30" s="15">
        <f>H10</f>
        <v>0</v>
      </c>
      <c r="L30" s="233">
        <f>H33</f>
        <v>23.664846269601213</v>
      </c>
      <c r="M30" s="2" t="s">
        <v>44</v>
      </c>
    </row>
    <row r="31" spans="1:20" x14ac:dyDescent="0.2">
      <c r="A31" s="72" t="s">
        <v>24</v>
      </c>
      <c r="B31" s="215">
        <v>52774.9804</v>
      </c>
      <c r="C31" s="215">
        <v>167777.05166666667</v>
      </c>
      <c r="D31" s="215">
        <v>507299.48157894739</v>
      </c>
      <c r="E31" s="214">
        <v>220363.4397058824</v>
      </c>
      <c r="H31" s="16">
        <f>K15</f>
        <v>23.664846269601213</v>
      </c>
      <c r="I31" s="7">
        <f>B15</f>
        <v>19.202128898978852</v>
      </c>
      <c r="J31" s="7">
        <f>E15</f>
        <v>12.426245323936984</v>
      </c>
      <c r="K31" s="7">
        <f>H15</f>
        <v>25.686801699849582</v>
      </c>
      <c r="L31" s="234"/>
      <c r="M31" s="2" t="s">
        <v>45</v>
      </c>
    </row>
    <row r="32" spans="1:20" ht="13.5" thickBot="1" x14ac:dyDescent="0.25">
      <c r="A32" s="73" t="s">
        <v>25</v>
      </c>
      <c r="B32" s="63">
        <f>B31/B30</f>
        <v>0.3704532150673927</v>
      </c>
      <c r="C32" s="63">
        <f>C31/C30</f>
        <v>0.31438227609848723</v>
      </c>
      <c r="D32" s="63">
        <f>D31/D30</f>
        <v>0.23569188052868165</v>
      </c>
      <c r="E32" s="64">
        <f>E31/E30</f>
        <v>0.2616734179448903</v>
      </c>
      <c r="H32" s="7">
        <f>K25</f>
        <v>0</v>
      </c>
      <c r="I32" s="7">
        <f>B25</f>
        <v>0</v>
      </c>
      <c r="J32" s="7">
        <f>E25</f>
        <v>0</v>
      </c>
      <c r="K32" s="7">
        <f>H25</f>
        <v>0</v>
      </c>
      <c r="L32" s="234"/>
      <c r="M32" s="2" t="s">
        <v>46</v>
      </c>
    </row>
    <row r="33" spans="1:21" x14ac:dyDescent="0.2">
      <c r="H33" s="150">
        <f>K26</f>
        <v>23.664846269601213</v>
      </c>
      <c r="I33" s="150">
        <f>B26</f>
        <v>19.202128898978852</v>
      </c>
      <c r="J33" s="150">
        <f>E26</f>
        <v>12.426245323936984</v>
      </c>
      <c r="K33" s="151">
        <f>H26</f>
        <v>25.686801699849582</v>
      </c>
      <c r="L33" s="235"/>
      <c r="M33" s="2" t="s">
        <v>47</v>
      </c>
    </row>
    <row r="34" spans="1:21" x14ac:dyDescent="0.2">
      <c r="G34" s="96" t="s">
        <v>51</v>
      </c>
      <c r="H34" s="95">
        <f>AVERAGE(H30:H33)</f>
        <v>11.832423134800607</v>
      </c>
      <c r="I34" s="95">
        <f>AVERAGE(I30:I33)</f>
        <v>9.6010644494894262</v>
      </c>
      <c r="J34" s="95">
        <f>AVERAGE(J30:J33)</f>
        <v>6.2131226619684918</v>
      </c>
      <c r="K34" s="95">
        <f>AVERAGE(K30:K33)</f>
        <v>12.843400849924791</v>
      </c>
    </row>
    <row r="36" spans="1:21" x14ac:dyDescent="0.2">
      <c r="A36" s="205" t="s">
        <v>143</v>
      </c>
      <c r="B36" s="31" t="s">
        <v>11</v>
      </c>
      <c r="C36" s="31" t="s">
        <v>12</v>
      </c>
      <c r="D36" s="31" t="s">
        <v>13</v>
      </c>
      <c r="E36" s="31" t="s">
        <v>34</v>
      </c>
      <c r="H36" s="156" t="s">
        <v>113</v>
      </c>
      <c r="I36" s="155" t="s">
        <v>8</v>
      </c>
      <c r="J36" s="86" t="s">
        <v>9</v>
      </c>
      <c r="K36" s="86" t="s">
        <v>10</v>
      </c>
      <c r="L36" s="87" t="s">
        <v>33</v>
      </c>
    </row>
    <row r="37" spans="1:21" x14ac:dyDescent="0.2">
      <c r="A37" t="s">
        <v>28</v>
      </c>
      <c r="B37" s="48">
        <f>SUM(B38:B39)</f>
        <v>77.56</v>
      </c>
      <c r="C37" s="48">
        <f>SUM(C38:C39)</f>
        <v>153.11041666666668</v>
      </c>
      <c r="D37" s="48">
        <f>SUM(D38:D39)</f>
        <v>289.21052631578948</v>
      </c>
      <c r="E37" s="48">
        <f>SUM(E38:E39)</f>
        <v>163.36250000000001</v>
      </c>
      <c r="F37" s="2" t="s">
        <v>149</v>
      </c>
      <c r="H37" s="144" t="s">
        <v>69</v>
      </c>
      <c r="I37" s="149"/>
      <c r="J37" s="103"/>
      <c r="K37" s="103"/>
      <c r="L37" s="103">
        <v>44</v>
      </c>
    </row>
    <row r="38" spans="1:21" x14ac:dyDescent="0.2">
      <c r="A38" t="s">
        <v>29</v>
      </c>
      <c r="B38" s="213">
        <v>45.64</v>
      </c>
      <c r="C38" s="213">
        <v>93.041666666666671</v>
      </c>
      <c r="D38" s="213">
        <v>101.68421052631579</v>
      </c>
      <c r="E38" s="211">
        <v>78.029411764705884</v>
      </c>
      <c r="H38" s="145" t="s">
        <v>71</v>
      </c>
      <c r="I38" s="148"/>
      <c r="J38" s="104"/>
      <c r="K38" s="104"/>
      <c r="L38" s="104">
        <v>62</v>
      </c>
    </row>
    <row r="39" spans="1:21" x14ac:dyDescent="0.2">
      <c r="A39" t="s">
        <v>30</v>
      </c>
      <c r="B39" s="213">
        <v>31.92</v>
      </c>
      <c r="C39" s="213">
        <v>60.068750000000001</v>
      </c>
      <c r="D39" s="213">
        <v>187.52631578947367</v>
      </c>
      <c r="E39" s="211">
        <v>85.333088235294113</v>
      </c>
      <c r="H39" s="145" t="s">
        <v>72</v>
      </c>
      <c r="I39" s="148"/>
      <c r="J39" s="104"/>
      <c r="K39" s="104"/>
      <c r="L39" s="104">
        <v>59</v>
      </c>
    </row>
    <row r="40" spans="1:21" x14ac:dyDescent="0.2">
      <c r="A40" t="s">
        <v>61</v>
      </c>
      <c r="B40" s="105">
        <f>B9*B39</f>
        <v>79.636343674796365</v>
      </c>
      <c r="C40" s="105">
        <f>E9*C39</f>
        <v>165.53061555414735</v>
      </c>
      <c r="D40" s="106">
        <f>H9*D39</f>
        <v>543.2591535574868</v>
      </c>
      <c r="E40" s="105">
        <f>K9*E39</f>
        <v>230.5979613308163</v>
      </c>
      <c r="H40" s="145" t="s">
        <v>73</v>
      </c>
      <c r="I40" s="148"/>
      <c r="J40" s="104"/>
      <c r="K40" s="104"/>
      <c r="L40" s="104">
        <v>50</v>
      </c>
    </row>
    <row r="41" spans="1:21" x14ac:dyDescent="0.2">
      <c r="A41" t="s">
        <v>59</v>
      </c>
      <c r="B41" s="105">
        <f>B11*B39</f>
        <v>53.665908640059861</v>
      </c>
      <c r="C41" s="105">
        <f>E11*C39</f>
        <v>64.457863022337534</v>
      </c>
      <c r="D41" s="106">
        <f>H11*D39</f>
        <v>245.58475868676862</v>
      </c>
      <c r="E41" s="105">
        <f>K11*E39</f>
        <v>115.88280891922986</v>
      </c>
      <c r="H41" s="146" t="s">
        <v>76</v>
      </c>
      <c r="I41" s="148"/>
      <c r="J41" s="104"/>
      <c r="K41" s="104"/>
      <c r="L41" s="104">
        <v>64</v>
      </c>
      <c r="M41" s="115"/>
    </row>
    <row r="42" spans="1:21" x14ac:dyDescent="0.2">
      <c r="A42" s="115" t="s">
        <v>81</v>
      </c>
      <c r="B42" s="209">
        <v>6624</v>
      </c>
      <c r="C42" s="209">
        <v>7968</v>
      </c>
      <c r="D42" s="209">
        <v>25969</v>
      </c>
      <c r="E42" s="212">
        <v>12504</v>
      </c>
      <c r="H42" s="146" t="s">
        <v>79</v>
      </c>
      <c r="I42" s="148"/>
      <c r="J42" s="104"/>
      <c r="K42" s="104"/>
      <c r="L42" s="104">
        <v>59</v>
      </c>
    </row>
    <row r="43" spans="1:21" x14ac:dyDescent="0.2">
      <c r="H43" s="146" t="s">
        <v>85</v>
      </c>
      <c r="I43" s="148"/>
      <c r="J43" s="104"/>
      <c r="K43" s="104"/>
      <c r="L43" s="104">
        <v>45</v>
      </c>
    </row>
    <row r="44" spans="1:21" x14ac:dyDescent="0.2">
      <c r="A44" s="116" t="s">
        <v>92</v>
      </c>
      <c r="B44" s="117" t="s">
        <v>11</v>
      </c>
      <c r="C44" s="117" t="s">
        <v>12</v>
      </c>
      <c r="D44" s="117" t="s">
        <v>13</v>
      </c>
      <c r="E44" s="118" t="s">
        <v>34</v>
      </c>
      <c r="H44" s="146" t="s">
        <v>98</v>
      </c>
      <c r="I44" s="121"/>
      <c r="J44" s="138"/>
      <c r="K44" s="138"/>
      <c r="L44" s="104">
        <v>33</v>
      </c>
    </row>
    <row r="45" spans="1:21" x14ac:dyDescent="0.2">
      <c r="A45" s="119" t="s">
        <v>94</v>
      </c>
      <c r="E45" s="5"/>
      <c r="H45" s="146" t="s">
        <v>106</v>
      </c>
      <c r="I45" s="121"/>
      <c r="J45" s="138"/>
      <c r="K45" s="138"/>
      <c r="L45" s="104">
        <v>66</v>
      </c>
    </row>
    <row r="46" spans="1:21" x14ac:dyDescent="0.2">
      <c r="A46" s="119" t="s">
        <v>93</v>
      </c>
      <c r="B46" s="120">
        <f>B9*D7</f>
        <v>35.618220557466955</v>
      </c>
      <c r="C46" s="120">
        <f>E9*G7</f>
        <v>39.888927840838392</v>
      </c>
      <c r="D46" s="120">
        <f>H9*J7</f>
        <v>71.02736252689084</v>
      </c>
      <c r="E46" s="121">
        <f>K9*M7</f>
        <v>58.864051491675312</v>
      </c>
      <c r="H46" s="170" t="s">
        <v>111</v>
      </c>
      <c r="I46" s="198"/>
      <c r="J46" s="138"/>
      <c r="K46" s="198"/>
      <c r="L46" s="177">
        <v>82.41</v>
      </c>
      <c r="M46" s="6"/>
    </row>
    <row r="47" spans="1:21" x14ac:dyDescent="0.2">
      <c r="A47" s="119" t="s">
        <v>91</v>
      </c>
      <c r="B47" s="120">
        <f>B9*D19</f>
        <v>19.932329425311785</v>
      </c>
      <c r="C47" s="120">
        <f>E9*G19</f>
        <v>34.708023201870127</v>
      </c>
      <c r="D47" s="120">
        <f>H9*J19</f>
        <v>33.821003787184658</v>
      </c>
      <c r="E47" s="121">
        <f>K9*M19</f>
        <v>31.172468025351368</v>
      </c>
      <c r="H47" s="185" t="s">
        <v>116</v>
      </c>
      <c r="I47" s="198"/>
      <c r="J47" s="138"/>
      <c r="K47" s="198"/>
      <c r="L47" s="186">
        <v>34.267232478010698</v>
      </c>
      <c r="M47" s="6"/>
    </row>
    <row r="48" spans="1:21" x14ac:dyDescent="0.2">
      <c r="A48" s="122" t="s">
        <v>96</v>
      </c>
      <c r="B48" s="123">
        <f>SUM(B46:B47)</f>
        <v>55.55054998277874</v>
      </c>
      <c r="C48" s="123">
        <f>SUM(C46:C47)</f>
        <v>74.596951042708525</v>
      </c>
      <c r="D48" s="123">
        <f>SUM(D46:D47)</f>
        <v>104.84836631407549</v>
      </c>
      <c r="E48" s="124">
        <f>SUM(E46:E47)</f>
        <v>90.036519517026676</v>
      </c>
      <c r="H48" s="166" t="s">
        <v>119</v>
      </c>
      <c r="I48" s="198"/>
      <c r="J48" s="198"/>
      <c r="K48" s="198"/>
      <c r="L48" s="183">
        <v>30.451998871761234</v>
      </c>
      <c r="M48" s="6" t="s">
        <v>129</v>
      </c>
      <c r="T48" s="111"/>
      <c r="U48" s="111"/>
    </row>
    <row r="49" spans="1:21" x14ac:dyDescent="0.2">
      <c r="A49" s="115"/>
      <c r="D49" s="125" t="s">
        <v>95</v>
      </c>
      <c r="E49" s="126">
        <v>500</v>
      </c>
      <c r="H49" s="180" t="s">
        <v>125</v>
      </c>
      <c r="I49" s="199"/>
      <c r="J49" s="199"/>
      <c r="K49" s="199"/>
      <c r="L49" s="181">
        <v>33.179012860914092</v>
      </c>
      <c r="M49" s="6" t="s">
        <v>129</v>
      </c>
      <c r="U49" s="111"/>
    </row>
    <row r="50" spans="1:21" x14ac:dyDescent="0.2">
      <c r="A50" s="115"/>
      <c r="H50" s="176" t="s">
        <v>133</v>
      </c>
      <c r="I50" s="202">
        <v>24.403233901127408</v>
      </c>
      <c r="J50" s="202">
        <v>8.722691561727558</v>
      </c>
      <c r="K50" s="202">
        <v>26.667536163267727</v>
      </c>
      <c r="L50" s="201">
        <v>34.291824665454442</v>
      </c>
      <c r="M50" s="6" t="s">
        <v>130</v>
      </c>
      <c r="T50" s="112"/>
      <c r="U50" s="113"/>
    </row>
    <row r="51" spans="1:21" x14ac:dyDescent="0.2">
      <c r="H51" s="176" t="s">
        <v>138</v>
      </c>
      <c r="I51" s="200">
        <v>19.792690837239491</v>
      </c>
      <c r="J51" s="200">
        <v>18.576088873890246</v>
      </c>
      <c r="K51" s="200">
        <v>43.094882616890061</v>
      </c>
      <c r="L51" s="201">
        <v>31.739051603645532</v>
      </c>
      <c r="M51" s="6" t="s">
        <v>130</v>
      </c>
      <c r="U51" s="112"/>
    </row>
    <row r="52" spans="1:21" x14ac:dyDescent="0.2">
      <c r="H52" s="176" t="s">
        <v>144</v>
      </c>
      <c r="I52" s="161">
        <f>I33</f>
        <v>19.202128898978852</v>
      </c>
      <c r="J52" s="161">
        <f>J33</f>
        <v>12.426245323936984</v>
      </c>
      <c r="K52" s="161">
        <f>K33</f>
        <v>25.686801699849582</v>
      </c>
      <c r="L52" s="187">
        <f>H33</f>
        <v>23.664846269601213</v>
      </c>
      <c r="M52" s="6" t="s">
        <v>130</v>
      </c>
      <c r="U52" s="112"/>
    </row>
    <row r="53" spans="1:21" x14ac:dyDescent="0.2">
      <c r="A53" s="228" t="s">
        <v>115</v>
      </c>
      <c r="B53" s="229"/>
      <c r="H53" s="168" t="s">
        <v>68</v>
      </c>
      <c r="I53" s="103"/>
      <c r="J53" s="163"/>
      <c r="K53" s="103"/>
      <c r="L53" s="149">
        <v>44</v>
      </c>
      <c r="M53" t="s">
        <v>69</v>
      </c>
      <c r="T53" s="112"/>
    </row>
    <row r="54" spans="1:21" x14ac:dyDescent="0.2">
      <c r="A54" s="206" t="s">
        <v>144</v>
      </c>
      <c r="B54" s="210">
        <v>1.82</v>
      </c>
      <c r="H54" s="166" t="s">
        <v>67</v>
      </c>
      <c r="I54" s="104"/>
      <c r="J54" s="164"/>
      <c r="K54" s="104"/>
      <c r="L54" s="148">
        <v>53</v>
      </c>
      <c r="M54" t="s">
        <v>66</v>
      </c>
      <c r="T54" s="112"/>
      <c r="U54" s="112"/>
    </row>
    <row r="55" spans="1:21" x14ac:dyDescent="0.2">
      <c r="A55" s="139" t="s">
        <v>64</v>
      </c>
      <c r="B55" s="110">
        <v>2</v>
      </c>
      <c r="H55" s="169" t="s">
        <v>65</v>
      </c>
      <c r="I55" s="108"/>
      <c r="J55" s="165"/>
      <c r="K55" s="108"/>
      <c r="L55" s="171">
        <v>55</v>
      </c>
      <c r="M55" t="s">
        <v>75</v>
      </c>
      <c r="T55" s="112"/>
      <c r="U55" s="112"/>
    </row>
    <row r="56" spans="1:21" x14ac:dyDescent="0.2">
      <c r="H56" s="169" t="s">
        <v>74</v>
      </c>
      <c r="I56" s="108"/>
      <c r="J56" s="165"/>
      <c r="K56" s="108"/>
      <c r="L56" s="171">
        <v>57</v>
      </c>
      <c r="M56" t="s">
        <v>78</v>
      </c>
      <c r="T56" s="112"/>
      <c r="U56" s="112"/>
    </row>
    <row r="57" spans="1:21" x14ac:dyDescent="0.2">
      <c r="H57" s="170" t="s">
        <v>77</v>
      </c>
      <c r="I57" s="108"/>
      <c r="J57" s="165"/>
      <c r="K57" s="108"/>
      <c r="L57" s="171">
        <v>57.666666666666664</v>
      </c>
      <c r="M57" s="115" t="s">
        <v>80</v>
      </c>
      <c r="T57" s="112"/>
      <c r="U57" s="112"/>
    </row>
    <row r="58" spans="1:21" x14ac:dyDescent="0.2">
      <c r="H58" s="170" t="s">
        <v>82</v>
      </c>
      <c r="I58" s="108"/>
      <c r="J58" s="165"/>
      <c r="K58" s="108"/>
      <c r="L58" s="171">
        <v>57.666666666666664</v>
      </c>
      <c r="M58" s="115" t="s">
        <v>89</v>
      </c>
      <c r="T58" s="112"/>
      <c r="U58" s="112"/>
    </row>
    <row r="59" spans="1:21" x14ac:dyDescent="0.2">
      <c r="A59" s="222" t="s">
        <v>150</v>
      </c>
      <c r="B59" s="223"/>
      <c r="H59" s="170" t="s">
        <v>86</v>
      </c>
      <c r="I59" s="108"/>
      <c r="J59" s="165"/>
      <c r="K59" s="108"/>
      <c r="L59" s="171">
        <v>56</v>
      </c>
      <c r="M59" s="115" t="s">
        <v>99</v>
      </c>
    </row>
    <row r="60" spans="1:21" x14ac:dyDescent="0.2">
      <c r="A60" s="224"/>
      <c r="B60" s="225"/>
      <c r="H60" s="170" t="s">
        <v>97</v>
      </c>
      <c r="I60" s="108"/>
      <c r="J60" s="165"/>
      <c r="K60" s="108"/>
      <c r="L60" s="171">
        <v>33</v>
      </c>
      <c r="M60" s="115" t="s">
        <v>110</v>
      </c>
      <c r="P60" s="141" t="s">
        <v>102</v>
      </c>
      <c r="Q60" s="112"/>
    </row>
    <row r="61" spans="1:21" x14ac:dyDescent="0.2">
      <c r="A61" s="224"/>
      <c r="B61" s="225"/>
      <c r="H61" s="170" t="s">
        <v>109</v>
      </c>
      <c r="I61" s="108"/>
      <c r="J61" s="165"/>
      <c r="K61" s="108"/>
      <c r="L61" s="171">
        <v>49.5</v>
      </c>
      <c r="M61" s="115" t="s">
        <v>100</v>
      </c>
    </row>
    <row r="62" spans="1:21" ht="14.25" customHeight="1" x14ac:dyDescent="0.2">
      <c r="A62" s="224"/>
      <c r="B62" s="225"/>
      <c r="H62" s="170" t="s">
        <v>112</v>
      </c>
      <c r="I62" s="108"/>
      <c r="J62" s="165"/>
      <c r="K62" s="108"/>
      <c r="L62" s="171">
        <v>60.47</v>
      </c>
      <c r="M62" s="115" t="s">
        <v>101</v>
      </c>
    </row>
    <row r="63" spans="1:21" ht="12.75" customHeight="1" x14ac:dyDescent="0.2">
      <c r="A63" s="226"/>
      <c r="B63" s="227"/>
      <c r="H63" s="170" t="s">
        <v>117</v>
      </c>
      <c r="I63" s="194"/>
      <c r="J63" s="194"/>
      <c r="K63" s="108"/>
      <c r="L63" s="167">
        <v>60.892410826003562</v>
      </c>
      <c r="M63" s="115" t="s">
        <v>118</v>
      </c>
    </row>
    <row r="64" spans="1:21" ht="12.75" customHeight="1" x14ac:dyDescent="0.2">
      <c r="H64" s="166" t="s">
        <v>120</v>
      </c>
      <c r="I64" s="182"/>
      <c r="J64" s="182"/>
      <c r="K64" s="182"/>
      <c r="L64" s="197">
        <v>49.043077116590645</v>
      </c>
      <c r="M64" s="143" t="s">
        <v>121</v>
      </c>
    </row>
    <row r="65" spans="8:13" x14ac:dyDescent="0.2">
      <c r="H65" s="166" t="s">
        <v>123</v>
      </c>
      <c r="I65" s="182"/>
      <c r="J65" s="182"/>
      <c r="K65" s="182"/>
      <c r="L65" s="197">
        <v>28.881590668785687</v>
      </c>
      <c r="M65" s="143" t="s">
        <v>124</v>
      </c>
    </row>
    <row r="66" spans="8:13" x14ac:dyDescent="0.2">
      <c r="H66" s="166" t="s">
        <v>127</v>
      </c>
      <c r="I66" s="182"/>
      <c r="J66" s="182"/>
      <c r="K66" s="182"/>
      <c r="L66" s="197">
        <v>32.632748070228672</v>
      </c>
      <c r="M66" s="143" t="s">
        <v>128</v>
      </c>
    </row>
    <row r="67" spans="8:13" x14ac:dyDescent="0.2">
      <c r="H67" s="166" t="s">
        <v>131</v>
      </c>
      <c r="I67" s="182"/>
      <c r="J67" s="182"/>
      <c r="K67" s="182"/>
      <c r="L67" s="183">
        <v>32.632748070228672</v>
      </c>
      <c r="M67" s="184" t="s">
        <v>132</v>
      </c>
    </row>
    <row r="68" spans="8:13" x14ac:dyDescent="0.2">
      <c r="H68" s="166" t="s">
        <v>135</v>
      </c>
      <c r="I68" s="183"/>
      <c r="J68" s="183"/>
      <c r="K68" s="183"/>
      <c r="L68" s="183">
        <v>32.640945466043256</v>
      </c>
      <c r="M68" s="143" t="s">
        <v>134</v>
      </c>
    </row>
    <row r="69" spans="8:13" x14ac:dyDescent="0.2">
      <c r="H69" s="180" t="s">
        <v>137</v>
      </c>
      <c r="I69" s="195"/>
      <c r="J69" s="195"/>
      <c r="K69" s="195"/>
      <c r="L69" s="181">
        <v>33.069963043338028</v>
      </c>
      <c r="M69" s="143" t="s">
        <v>139</v>
      </c>
    </row>
    <row r="70" spans="8:13" x14ac:dyDescent="0.2">
      <c r="H70" s="172" t="s">
        <v>147</v>
      </c>
      <c r="I70" s="196">
        <f>AVERAGE(I50,I51,I52)</f>
        <v>21.132684545781917</v>
      </c>
      <c r="J70" s="196">
        <f t="shared" ref="J70:K70" si="0">AVERAGE(J50,J51,J52)</f>
        <v>13.24167525318493</v>
      </c>
      <c r="K70" s="196">
        <f t="shared" si="0"/>
        <v>31.816406826669123</v>
      </c>
      <c r="L70" s="173">
        <f>AVERAGE(L50,L51,L52)</f>
        <v>29.898574179567063</v>
      </c>
      <c r="M70" s="178" t="s">
        <v>148</v>
      </c>
    </row>
    <row r="71" spans="8:13" x14ac:dyDescent="0.2">
      <c r="M71" s="143" t="s">
        <v>126</v>
      </c>
    </row>
  </sheetData>
  <mergeCells count="8">
    <mergeCell ref="A59:B63"/>
    <mergeCell ref="A53:B53"/>
    <mergeCell ref="B1:D1"/>
    <mergeCell ref="E1:G1"/>
    <mergeCell ref="L30:L33"/>
    <mergeCell ref="H28:L28"/>
    <mergeCell ref="K1:M1"/>
    <mergeCell ref="H1:J1"/>
  </mergeCells>
  <phoneticPr fontId="3" type="noConversion"/>
  <pageMargins left="0.75" right="0.75" top="1" bottom="1" header="0.5" footer="0.5"/>
  <pageSetup paperSize="9" scale="52" orientation="landscape" r:id="rId1"/>
  <headerFooter alignWithMargins="0">
    <oddHeader>&amp;R&amp;"Arial,Cursief"&amp;F
&amp;A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zoomScale="80" zoomScaleNormal="80" workbookViewId="0"/>
  </sheetViews>
  <sheetFormatPr defaultRowHeight="12.75" x14ac:dyDescent="0.2"/>
  <cols>
    <col min="1" max="1" width="43.140625" customWidth="1"/>
    <col min="2" max="3" width="11.28515625" customWidth="1"/>
    <col min="4" max="4" width="13.7109375" customWidth="1"/>
    <col min="5" max="5" width="13.28515625" customWidth="1"/>
    <col min="6" max="7" width="11.28515625" customWidth="1"/>
    <col min="8" max="8" width="12.5703125" customWidth="1"/>
    <col min="9" max="9" width="13" customWidth="1"/>
    <col min="10" max="11" width="11.28515625" customWidth="1"/>
    <col min="12" max="12" width="12.7109375" customWidth="1"/>
    <col min="13" max="13" width="11.28515625" customWidth="1"/>
    <col min="14" max="14" width="2" customWidth="1"/>
    <col min="15" max="15" width="6.140625" customWidth="1"/>
    <col min="16" max="16" width="13.5703125" customWidth="1"/>
  </cols>
  <sheetData>
    <row r="1" spans="1:20" x14ac:dyDescent="0.2">
      <c r="A1" s="21" t="s">
        <v>60</v>
      </c>
      <c r="B1" s="230" t="s">
        <v>8</v>
      </c>
      <c r="C1" s="230"/>
      <c r="D1" s="231"/>
      <c r="E1" s="232" t="s">
        <v>9</v>
      </c>
      <c r="F1" s="230"/>
      <c r="G1" s="231"/>
      <c r="H1" s="232" t="s">
        <v>10</v>
      </c>
      <c r="I1" s="230"/>
      <c r="J1" s="230"/>
      <c r="K1" s="232" t="s">
        <v>33</v>
      </c>
      <c r="L1" s="230"/>
      <c r="M1" s="239"/>
      <c r="N1" s="77"/>
    </row>
    <row r="2" spans="1:20" ht="13.5" thickBot="1" x14ac:dyDescent="0.25">
      <c r="A2" s="22" t="str">
        <f>'Convenant 2026 werknemers'!A2</f>
        <v>toegepast op VNPF PAS cijfers 2024</v>
      </c>
      <c r="B2" s="10"/>
      <c r="C2" s="10"/>
      <c r="D2" s="11"/>
      <c r="E2" s="9"/>
      <c r="F2" s="14"/>
      <c r="G2" s="11"/>
      <c r="H2" s="9"/>
      <c r="I2" s="14"/>
      <c r="J2" s="10"/>
      <c r="K2" s="9"/>
      <c r="L2" s="14"/>
      <c r="M2" s="23"/>
    </row>
    <row r="3" spans="1:20" x14ac:dyDescent="0.2">
      <c r="A3" s="24" t="s">
        <v>6</v>
      </c>
      <c r="B3" s="6"/>
      <c r="C3" s="30">
        <f>'Convenant 2026 werknemers'!C3</f>
        <v>14091</v>
      </c>
      <c r="D3" s="5"/>
      <c r="E3" s="3"/>
      <c r="F3" s="30">
        <f>'Convenant 2026 werknemers'!F3</f>
        <v>41289</v>
      </c>
      <c r="G3" s="5"/>
      <c r="H3" s="3"/>
      <c r="I3" s="30">
        <f>'Convenant 2026 werknemers'!I3</f>
        <v>190222</v>
      </c>
      <c r="K3" s="69"/>
      <c r="L3" s="30">
        <f>'Convenant 2026 werknemers'!L3</f>
        <v>72903</v>
      </c>
      <c r="M3" s="25"/>
      <c r="O3" s="2"/>
      <c r="P3" s="2" t="s">
        <v>145</v>
      </c>
      <c r="T3" s="3"/>
    </row>
    <row r="4" spans="1:20" x14ac:dyDescent="0.2">
      <c r="A4" s="32" t="s">
        <v>21</v>
      </c>
      <c r="B4" s="9"/>
      <c r="C4" s="33">
        <f>B26</f>
        <v>184560.64800000002</v>
      </c>
      <c r="D4" s="11"/>
      <c r="E4" s="14"/>
      <c r="F4" s="33">
        <f>C26</f>
        <v>548315.46409583336</v>
      </c>
      <c r="G4" s="11"/>
      <c r="H4" s="14"/>
      <c r="I4" s="33">
        <f>D26</f>
        <v>4278732.1721052639</v>
      </c>
      <c r="J4" s="10"/>
      <c r="K4" s="94"/>
      <c r="L4" s="33">
        <f>E26</f>
        <v>1456904.3912985295</v>
      </c>
      <c r="M4" s="23"/>
      <c r="O4" s="2"/>
      <c r="P4" s="2" t="s">
        <v>146</v>
      </c>
      <c r="T4" s="3"/>
    </row>
    <row r="5" spans="1:20" x14ac:dyDescent="0.2">
      <c r="A5" s="24" t="s">
        <v>20</v>
      </c>
      <c r="B5" s="6"/>
      <c r="C5" s="20">
        <f>C4*(1+$O5)</f>
        <v>201171.10632000002</v>
      </c>
      <c r="D5" s="5"/>
      <c r="E5" s="3"/>
      <c r="F5" s="20">
        <f>F4*(1+$O5)</f>
        <v>597663.85586445837</v>
      </c>
      <c r="G5" s="5"/>
      <c r="H5" s="3"/>
      <c r="I5" s="20">
        <f>I4*(1+$O5)</f>
        <v>4663818.0675947377</v>
      </c>
      <c r="K5" s="69"/>
      <c r="L5" s="20">
        <f>L4*(1+$O5)</f>
        <v>1588025.7865153973</v>
      </c>
      <c r="M5" s="25"/>
      <c r="O5" s="207">
        <v>0.09</v>
      </c>
      <c r="P5" s="114" t="s">
        <v>84</v>
      </c>
      <c r="Q5" s="2"/>
      <c r="T5" s="3"/>
    </row>
    <row r="6" spans="1:20" x14ac:dyDescent="0.2">
      <c r="A6" s="24" t="s">
        <v>1</v>
      </c>
      <c r="B6" s="6"/>
      <c r="D6" s="12">
        <f>+C5/+C3</f>
        <v>14.276567051309348</v>
      </c>
      <c r="E6" s="3"/>
      <c r="F6" s="3"/>
      <c r="G6" s="12">
        <f>F5/F3</f>
        <v>14.475135165890634</v>
      </c>
      <c r="H6" s="3"/>
      <c r="I6" s="3"/>
      <c r="J6" s="4">
        <f>I5/I3</f>
        <v>24.517763810677721</v>
      </c>
      <c r="K6" s="69"/>
      <c r="L6" s="3"/>
      <c r="M6" s="26">
        <f>L5/L3</f>
        <v>21.78272206240343</v>
      </c>
      <c r="N6" s="4"/>
      <c r="O6" s="2"/>
      <c r="T6" s="3"/>
    </row>
    <row r="7" spans="1:20" x14ac:dyDescent="0.2">
      <c r="A7" s="24" t="s">
        <v>0</v>
      </c>
      <c r="B7" s="6"/>
      <c r="D7" s="12">
        <f>D6*O7</f>
        <v>0</v>
      </c>
      <c r="E7" s="3"/>
      <c r="F7" s="3"/>
      <c r="G7" s="12">
        <f>G6*O7</f>
        <v>0</v>
      </c>
      <c r="H7" s="3"/>
      <c r="I7" s="3"/>
      <c r="J7" s="4">
        <f>J6*O7</f>
        <v>0</v>
      </c>
      <c r="K7" s="69"/>
      <c r="L7" s="3"/>
      <c r="M7" s="26">
        <f>M6*O7</f>
        <v>0</v>
      </c>
      <c r="N7" s="4"/>
      <c r="O7" s="207">
        <v>0</v>
      </c>
      <c r="P7" s="2" t="s">
        <v>90</v>
      </c>
      <c r="T7" s="3"/>
    </row>
    <row r="8" spans="1:20" x14ac:dyDescent="0.2">
      <c r="A8" s="24" t="s">
        <v>3</v>
      </c>
      <c r="B8" s="16">
        <f>D6-D7</f>
        <v>14.276567051309348</v>
      </c>
      <c r="D8" s="5"/>
      <c r="E8" s="7">
        <f>G6-G7</f>
        <v>14.475135165890634</v>
      </c>
      <c r="G8" s="5"/>
      <c r="H8" s="7">
        <f>J6-J7</f>
        <v>24.517763810677721</v>
      </c>
      <c r="K8" s="7">
        <f>M6-M7</f>
        <v>21.78272206240343</v>
      </c>
      <c r="M8" s="25"/>
      <c r="O8" s="2"/>
      <c r="T8" s="3"/>
    </row>
    <row r="9" spans="1:20" x14ac:dyDescent="0.2">
      <c r="A9" s="24" t="s">
        <v>55</v>
      </c>
      <c r="B9" s="57">
        <f>B32</f>
        <v>3.8113692447981791</v>
      </c>
      <c r="D9" s="5"/>
      <c r="E9" s="57">
        <f>C32</f>
        <v>4.4024204919670433</v>
      </c>
      <c r="G9" s="5"/>
      <c r="H9" s="57">
        <f>D32</f>
        <v>4.2072582443413573</v>
      </c>
      <c r="K9" s="57">
        <f>E32</f>
        <v>4.12046213532017</v>
      </c>
      <c r="M9" s="25"/>
      <c r="O9" s="58"/>
      <c r="P9" s="2" t="str">
        <f>P4</f>
        <v>PAS2024, zie onder</v>
      </c>
      <c r="T9" s="3"/>
    </row>
    <row r="10" spans="1:20" x14ac:dyDescent="0.2">
      <c r="A10" s="24" t="s">
        <v>35</v>
      </c>
      <c r="B10" s="70">
        <f>B9*B8</f>
        <v>54.413268580659476</v>
      </c>
      <c r="D10" s="5"/>
      <c r="E10" s="70">
        <f>E9*E8</f>
        <v>63.725631678309696</v>
      </c>
      <c r="G10" s="5"/>
      <c r="H10" s="70">
        <f>H9*H8</f>
        <v>103.15256392528802</v>
      </c>
      <c r="K10" s="70">
        <f>K9*K8</f>
        <v>89.754881462336613</v>
      </c>
      <c r="M10" s="25"/>
      <c r="O10" s="2"/>
      <c r="T10" s="3"/>
    </row>
    <row r="11" spans="1:20" x14ac:dyDescent="0.2">
      <c r="A11" s="128" t="s">
        <v>57</v>
      </c>
      <c r="B11" s="136">
        <f>B33</f>
        <v>0.41151565234111587</v>
      </c>
      <c r="C11" s="129"/>
      <c r="D11" s="130"/>
      <c r="E11" s="136">
        <f>C33</f>
        <v>1.094488945563205</v>
      </c>
      <c r="F11" s="129"/>
      <c r="G11" s="130"/>
      <c r="H11" s="136">
        <f>D33</f>
        <v>1.4050631611932836</v>
      </c>
      <c r="I11" s="129"/>
      <c r="J11" s="129"/>
      <c r="K11" s="136">
        <f>E33</f>
        <v>0.89376694525472145</v>
      </c>
      <c r="L11" s="131"/>
      <c r="M11" s="132"/>
      <c r="O11" s="2"/>
      <c r="T11" s="3"/>
    </row>
    <row r="12" spans="1:20" x14ac:dyDescent="0.2">
      <c r="A12" s="24" t="s">
        <v>0</v>
      </c>
      <c r="B12" s="6"/>
      <c r="D12" s="12">
        <f>'Convenant 2026 werknemers'!D12</f>
        <v>2.8553134102618696</v>
      </c>
      <c r="E12" s="3"/>
      <c r="F12" s="3"/>
      <c r="G12" s="12">
        <f>'Convenant 2026 werknemers'!G12</f>
        <v>2.8950270331781272</v>
      </c>
      <c r="H12" s="3"/>
      <c r="I12" s="3"/>
      <c r="J12" s="12">
        <f>'Convenant 2026 werknemers'!J12</f>
        <v>4.9035527621355444</v>
      </c>
      <c r="K12" s="69"/>
      <c r="L12" s="3"/>
      <c r="M12" s="26">
        <f>'Convenant 2026 werknemers'!M12</f>
        <v>4.3565444124806865</v>
      </c>
      <c r="N12" s="4"/>
      <c r="O12" s="207">
        <f>O7</f>
        <v>0</v>
      </c>
      <c r="P12" s="2" t="str">
        <f>P7</f>
        <v>personeelskorting branchegerichte producten; vrijstelling tot € 500.</v>
      </c>
      <c r="T12" s="3"/>
    </row>
    <row r="13" spans="1:20" x14ac:dyDescent="0.2">
      <c r="A13" s="24" t="s">
        <v>3</v>
      </c>
      <c r="B13" s="16">
        <f>D6-D12</f>
        <v>11.421253641047478</v>
      </c>
      <c r="D13" s="5"/>
      <c r="E13" s="16">
        <f>G6-G12</f>
        <v>11.580108132712507</v>
      </c>
      <c r="G13" s="5"/>
      <c r="H13" s="16">
        <f>J6-J12</f>
        <v>19.614211048542177</v>
      </c>
      <c r="K13" s="16">
        <f>M6-M12</f>
        <v>17.426177649922742</v>
      </c>
      <c r="M13" s="25"/>
      <c r="O13" s="2"/>
      <c r="T13" s="3"/>
    </row>
    <row r="14" spans="1:20" x14ac:dyDescent="0.2">
      <c r="A14" s="49" t="s">
        <v>42</v>
      </c>
      <c r="B14" s="127">
        <f>B11*B13</f>
        <v>4.700024642648998</v>
      </c>
      <c r="C14" s="37"/>
      <c r="D14" s="38"/>
      <c r="E14" s="127">
        <f>E11*E13</f>
        <v>12.674300339680405</v>
      </c>
      <c r="F14" s="8"/>
      <c r="G14" s="38"/>
      <c r="H14" s="127">
        <f>H11*H13</f>
        <v>27.559205380176902</v>
      </c>
      <c r="I14" s="8"/>
      <c r="J14" s="93"/>
      <c r="K14" s="127">
        <f>K11*K13</f>
        <v>15.57494156563755</v>
      </c>
      <c r="L14" s="8"/>
      <c r="M14" s="39"/>
      <c r="N14" s="59"/>
      <c r="T14" s="3"/>
    </row>
    <row r="15" spans="1:20" x14ac:dyDescent="0.2">
      <c r="A15" s="47" t="s">
        <v>22</v>
      </c>
      <c r="B15" s="45"/>
      <c r="C15" s="46">
        <f>B27</f>
        <v>142460.5814</v>
      </c>
      <c r="D15" s="13"/>
      <c r="E15" s="6"/>
      <c r="F15" s="20">
        <f>C27</f>
        <v>533672.10692916659</v>
      </c>
      <c r="G15" s="13"/>
      <c r="H15" s="6"/>
      <c r="I15" s="20">
        <f>D27</f>
        <v>2152384.2078947369</v>
      </c>
      <c r="J15" s="59"/>
      <c r="K15" s="6"/>
      <c r="L15" s="20">
        <f>E27</f>
        <v>842131.5448720589</v>
      </c>
      <c r="M15" s="28"/>
      <c r="N15" s="59"/>
      <c r="P15" s="2" t="str">
        <f>P4</f>
        <v>PAS2024, zie onder</v>
      </c>
      <c r="T15" s="3"/>
    </row>
    <row r="16" spans="1:20" x14ac:dyDescent="0.2">
      <c r="A16" s="24" t="s">
        <v>19</v>
      </c>
      <c r="B16" s="7"/>
      <c r="C16" s="20">
        <f>C15*(1+$O16)</f>
        <v>168103.48605199999</v>
      </c>
      <c r="D16" s="5"/>
      <c r="E16" s="19"/>
      <c r="F16" s="20">
        <f>F15*(1+$O16)</f>
        <v>629733.08617641649</v>
      </c>
      <c r="G16" s="5"/>
      <c r="H16" s="19"/>
      <c r="I16" s="20">
        <f>I15*(1+$O16)</f>
        <v>2539813.3653157894</v>
      </c>
      <c r="K16" s="19"/>
      <c r="L16" s="20">
        <f>L15*(1+$O16)</f>
        <v>993715.22294902941</v>
      </c>
      <c r="M16" s="25"/>
      <c r="O16" s="208">
        <f>'Convenant 2026 werknemers'!O17</f>
        <v>0.18</v>
      </c>
      <c r="P16" s="2" t="s">
        <v>23</v>
      </c>
      <c r="T16" s="3"/>
    </row>
    <row r="17" spans="1:20" x14ac:dyDescent="0.2">
      <c r="A17" s="24" t="s">
        <v>4</v>
      </c>
      <c r="B17" s="7"/>
      <c r="D17" s="4">
        <f>'Convenant 2026 werknemers'!D18</f>
        <v>7.9893165092323555</v>
      </c>
      <c r="E17" s="19"/>
      <c r="G17" s="12">
        <f>'Convenant 2026 werknemers'!G18</f>
        <v>12.595057184604906</v>
      </c>
      <c r="H17" s="19"/>
      <c r="J17" s="4">
        <f>'Convenant 2026 werknemers'!J18</f>
        <v>11.674590653430085</v>
      </c>
      <c r="K17" s="19"/>
      <c r="M17" s="26">
        <f>'Convenant 2026 werknemers'!M18</f>
        <v>11.535414056428234</v>
      </c>
      <c r="N17" s="4"/>
      <c r="O17" s="2"/>
      <c r="P17" s="2" t="s">
        <v>62</v>
      </c>
      <c r="T17" s="3"/>
    </row>
    <row r="18" spans="1:20" x14ac:dyDescent="0.2">
      <c r="A18" s="24" t="s">
        <v>0</v>
      </c>
      <c r="B18" s="7"/>
      <c r="D18" s="12">
        <f>D17*O18</f>
        <v>0</v>
      </c>
      <c r="E18" s="19"/>
      <c r="G18" s="12">
        <f>G17*O18</f>
        <v>0</v>
      </c>
      <c r="H18" s="19"/>
      <c r="J18" s="4">
        <f>J17*O18</f>
        <v>0</v>
      </c>
      <c r="K18" s="19"/>
      <c r="M18" s="26">
        <f>M17*O18</f>
        <v>0</v>
      </c>
      <c r="N18" s="4"/>
      <c r="O18" s="207">
        <f>O7</f>
        <v>0</v>
      </c>
      <c r="P18" s="114" t="str">
        <f>P7</f>
        <v>personeelskorting branchegerichte producten; vrijstelling tot € 500.</v>
      </c>
      <c r="T18" s="3"/>
    </row>
    <row r="19" spans="1:20" x14ac:dyDescent="0.2">
      <c r="A19" s="24" t="s">
        <v>5</v>
      </c>
      <c r="B19" s="16">
        <f>D17-D18</f>
        <v>7.9893165092323555</v>
      </c>
      <c r="D19" s="5"/>
      <c r="E19" s="16">
        <f>G17-G18</f>
        <v>12.595057184604906</v>
      </c>
      <c r="F19" s="17"/>
      <c r="G19" s="18"/>
      <c r="H19" s="16">
        <f>J17-J18</f>
        <v>11.674590653430085</v>
      </c>
      <c r="I19" s="17"/>
      <c r="J19" s="17"/>
      <c r="K19" s="16">
        <f>M17-M18</f>
        <v>11.535414056428234</v>
      </c>
      <c r="L19" s="17"/>
      <c r="M19" s="27"/>
      <c r="N19" s="17"/>
      <c r="O19" s="2"/>
      <c r="T19" s="3"/>
    </row>
    <row r="20" spans="1:20" x14ac:dyDescent="0.2">
      <c r="A20" s="24" t="s">
        <v>48</v>
      </c>
      <c r="B20" s="92">
        <f>D17*C20</f>
        <v>7.2383207573645141</v>
      </c>
      <c r="C20" s="218">
        <v>0.90600000000000003</v>
      </c>
      <c r="D20" s="5"/>
      <c r="E20" s="92">
        <f>G17*F20</f>
        <v>10.453897463222072</v>
      </c>
      <c r="F20" s="218">
        <v>0.83</v>
      </c>
      <c r="G20" s="5"/>
      <c r="H20" s="92">
        <f>J17*I20</f>
        <v>10.343687318939056</v>
      </c>
      <c r="I20" s="218">
        <v>0.88600000000000001</v>
      </c>
      <c r="K20" s="92">
        <f>M17*L20</f>
        <v>10.070416471261849</v>
      </c>
      <c r="L20" s="218">
        <v>0.873</v>
      </c>
      <c r="M20" s="25"/>
      <c r="N20" s="3"/>
      <c r="O20" s="2"/>
      <c r="P20" s="2" t="str">
        <f>P3</f>
        <v>PAS 2024</v>
      </c>
      <c r="T20" s="3"/>
    </row>
    <row r="21" spans="1:20" x14ac:dyDescent="0.2">
      <c r="A21" s="24" t="s">
        <v>50</v>
      </c>
      <c r="B21" s="15">
        <f>MAX(B19-B20,0)</f>
        <v>0.7509957518678414</v>
      </c>
      <c r="D21" s="5"/>
      <c r="E21" s="15">
        <f>MAX(E19-E20,0)</f>
        <v>2.1411597213828344</v>
      </c>
      <c r="G21" s="5"/>
      <c r="H21" s="15">
        <f>MAX(H19-H20,0)</f>
        <v>1.3309033344910297</v>
      </c>
      <c r="K21" s="15">
        <f>MAX(K19-K20,0)</f>
        <v>1.464997585166385</v>
      </c>
      <c r="M21" s="25"/>
      <c r="N21" s="3"/>
      <c r="O21" s="2"/>
      <c r="P21" s="2"/>
      <c r="Q21" s="2"/>
      <c r="T21" s="3"/>
    </row>
    <row r="22" spans="1:20" x14ac:dyDescent="0.2">
      <c r="A22" s="24" t="s">
        <v>2</v>
      </c>
      <c r="B22" s="57">
        <f>B9</f>
        <v>3.8113692447981791</v>
      </c>
      <c r="D22" s="5"/>
      <c r="E22" s="57">
        <f>E9</f>
        <v>4.4024204919670433</v>
      </c>
      <c r="G22" s="5"/>
      <c r="H22" s="57">
        <f>H9</f>
        <v>4.2072582443413573</v>
      </c>
      <c r="K22" s="57">
        <f>K9</f>
        <v>4.12046213532017</v>
      </c>
      <c r="M22" s="25"/>
      <c r="P22" s="2"/>
      <c r="T22" s="3"/>
    </row>
    <row r="23" spans="1:20" ht="13.5" thickBot="1" x14ac:dyDescent="0.25">
      <c r="A23" s="50" t="s">
        <v>38</v>
      </c>
      <c r="B23" s="76">
        <f>B21*B22</f>
        <v>2.8623221116431754</v>
      </c>
      <c r="C23" s="29"/>
      <c r="D23" s="51"/>
      <c r="E23" s="76">
        <f>E21*E22</f>
        <v>9.4262854339902358</v>
      </c>
      <c r="F23" s="29"/>
      <c r="G23" s="51"/>
      <c r="H23" s="76">
        <f>H21*H22</f>
        <v>5.5994540264587878</v>
      </c>
      <c r="I23" s="29"/>
      <c r="J23" s="29"/>
      <c r="K23" s="76">
        <f>K21*K22</f>
        <v>6.0364670780135752</v>
      </c>
      <c r="L23" s="29"/>
      <c r="M23" s="52"/>
      <c r="O23" s="2"/>
      <c r="T23" s="3"/>
    </row>
    <row r="24" spans="1:20" ht="13.5" thickBot="1" x14ac:dyDescent="0.25"/>
    <row r="25" spans="1:20" x14ac:dyDescent="0.2">
      <c r="A25" s="60" t="str">
        <f>'Convenant 2026 werknemers'!A28</f>
        <v>PAS cijfers 2024</v>
      </c>
      <c r="B25" s="61" t="str">
        <f>'Convenant 2026 werknemers'!B28</f>
        <v>Klein</v>
      </c>
      <c r="C25" s="61" t="str">
        <f>'Convenant 2026 werknemers'!C28</f>
        <v>Middel</v>
      </c>
      <c r="D25" s="61" t="str">
        <f>'Convenant 2026 werknemers'!D28</f>
        <v>Groot</v>
      </c>
      <c r="E25" s="62" t="str">
        <f>'Convenant 2026 werknemers'!E28</f>
        <v>Totaal</v>
      </c>
      <c r="G25" s="53" t="s">
        <v>43</v>
      </c>
      <c r="H25" s="54"/>
      <c r="I25" s="247" t="s">
        <v>8</v>
      </c>
      <c r="J25" s="240" t="s">
        <v>9</v>
      </c>
      <c r="K25" s="240" t="s">
        <v>10</v>
      </c>
      <c r="L25" s="249" t="s">
        <v>33</v>
      </c>
      <c r="M25" s="75"/>
      <c r="N25" s="75"/>
    </row>
    <row r="26" spans="1:20" x14ac:dyDescent="0.2">
      <c r="A26" s="81" t="str">
        <f>'Convenant 2026 werknemers'!A29</f>
        <v>recette</v>
      </c>
      <c r="B26" s="79">
        <f>'Convenant 2026 werknemers'!B29</f>
        <v>184560.64800000002</v>
      </c>
      <c r="C26" s="79">
        <f>'Convenant 2026 werknemers'!C29</f>
        <v>548315.46409583336</v>
      </c>
      <c r="D26" s="79">
        <f>'Convenant 2026 werknemers'!D29</f>
        <v>4278732.1721052639</v>
      </c>
      <c r="E26" s="82">
        <f>'Convenant 2026 werknemers'!E29</f>
        <v>1456904.3912985295</v>
      </c>
      <c r="G26" s="55" t="s">
        <v>63</v>
      </c>
      <c r="H26" s="44"/>
      <c r="I26" s="248"/>
      <c r="J26" s="241"/>
      <c r="K26" s="241"/>
      <c r="L26" s="250"/>
      <c r="M26" s="75"/>
      <c r="N26" s="75"/>
    </row>
    <row r="27" spans="1:20" x14ac:dyDescent="0.2">
      <c r="A27" s="81" t="str">
        <f>'Convenant 2026 werknemers'!A30</f>
        <v>bruto omzet horeca</v>
      </c>
      <c r="B27" s="79">
        <f>'Convenant 2026 werknemers'!B30</f>
        <v>142460.5814</v>
      </c>
      <c r="C27" s="79">
        <f>'Convenant 2026 werknemers'!C30</f>
        <v>533672.10692916659</v>
      </c>
      <c r="D27" s="79">
        <f>'Convenant 2026 werknemers'!D30</f>
        <v>2152384.2078947369</v>
      </c>
      <c r="E27" s="82">
        <f>'Convenant 2026 werknemers'!E30</f>
        <v>842131.5448720589</v>
      </c>
      <c r="G27" s="41" t="s">
        <v>15</v>
      </c>
      <c r="H27" s="42"/>
      <c r="I27" s="20">
        <f>B10</f>
        <v>54.413268580659476</v>
      </c>
      <c r="J27" s="20">
        <f>E10</f>
        <v>63.725631678309696</v>
      </c>
      <c r="K27" s="20">
        <f>H10</f>
        <v>103.15256392528802</v>
      </c>
      <c r="L27" s="133">
        <f>K10</f>
        <v>89.754881462336613</v>
      </c>
      <c r="M27" s="244">
        <f>AVERAGE(L27:L30)</f>
        <v>100.56058578416217</v>
      </c>
      <c r="N27" s="20"/>
    </row>
    <row r="28" spans="1:20" x14ac:dyDescent="0.2">
      <c r="A28" s="81" t="str">
        <f>'Convenant 2026 werknemers'!A31</f>
        <v>horeca inkoop</v>
      </c>
      <c r="B28" s="79">
        <f>'Convenant 2026 werknemers'!B31</f>
        <v>52774.9804</v>
      </c>
      <c r="C28" s="79">
        <f>'Convenant 2026 werknemers'!C31</f>
        <v>167777.05166666667</v>
      </c>
      <c r="D28" s="79">
        <f>'Convenant 2026 werknemers'!D31</f>
        <v>507299.48157894739</v>
      </c>
      <c r="E28" s="82">
        <f>'Convenant 2026 werknemers'!E31</f>
        <v>220363.4397058824</v>
      </c>
      <c r="G28" s="41" t="s">
        <v>17</v>
      </c>
      <c r="H28" s="42"/>
      <c r="I28" s="20">
        <f>SUM(B10,B14)</f>
        <v>59.113293223308474</v>
      </c>
      <c r="J28" s="20">
        <f>SUM(E10,E14)</f>
        <v>76.399932017990096</v>
      </c>
      <c r="K28" s="20">
        <f>SUM(H10,H14)</f>
        <v>130.71176930546491</v>
      </c>
      <c r="L28" s="134">
        <f>SUM(K10,K14)</f>
        <v>105.32982302797416</v>
      </c>
      <c r="M28" s="245"/>
      <c r="N28" s="20"/>
    </row>
    <row r="29" spans="1:20" x14ac:dyDescent="0.2">
      <c r="A29" s="81" t="str">
        <f>'Convenant 2026 werknemers'!A32</f>
        <v>horeca marge</v>
      </c>
      <c r="B29" s="80">
        <f>B28/B27</f>
        <v>0.3704532150673927</v>
      </c>
      <c r="C29" s="80">
        <f>C28/C27</f>
        <v>0.31438227609848723</v>
      </c>
      <c r="D29" s="80">
        <f>D28/D27</f>
        <v>0.23569188052868165</v>
      </c>
      <c r="E29" s="83">
        <f>E28/E27</f>
        <v>0.2616734179448903</v>
      </c>
      <c r="G29" s="41" t="s">
        <v>16</v>
      </c>
      <c r="H29" s="42"/>
      <c r="I29" s="20">
        <f>SUM(B10,B23)</f>
        <v>57.27559069230265</v>
      </c>
      <c r="J29" s="20">
        <f>SUM(E10,E23)</f>
        <v>73.151917112299927</v>
      </c>
      <c r="K29" s="20">
        <f>SUM(H10,H23)</f>
        <v>108.75201795174681</v>
      </c>
      <c r="L29" s="134">
        <f>SUM(K10,K23)</f>
        <v>95.791348540350185</v>
      </c>
      <c r="M29" s="245"/>
      <c r="N29" s="20"/>
    </row>
    <row r="30" spans="1:20" x14ac:dyDescent="0.2">
      <c r="A30" s="72"/>
      <c r="B30" s="78"/>
      <c r="C30" s="78"/>
      <c r="D30" s="78"/>
      <c r="E30" s="84"/>
      <c r="G30" s="43" t="s">
        <v>18</v>
      </c>
      <c r="H30" s="44"/>
      <c r="I30" s="40">
        <f>SUM(B10,B14,B23)</f>
        <v>61.975615334951648</v>
      </c>
      <c r="J30" s="40">
        <f>SUM(E10,E14,E23)</f>
        <v>85.826217451980327</v>
      </c>
      <c r="K30" s="40">
        <f>SUM(H10,H14,H23)</f>
        <v>136.31122333192371</v>
      </c>
      <c r="L30" s="135">
        <f>SUM(K10,K14,K23)</f>
        <v>111.36629010598773</v>
      </c>
      <c r="M30" s="246"/>
      <c r="N30" s="20"/>
    </row>
    <row r="31" spans="1:20" x14ac:dyDescent="0.2">
      <c r="A31" s="72" t="s">
        <v>14</v>
      </c>
      <c r="B31" s="98">
        <f>'Convenant 2026 werknemers'!B38</f>
        <v>45.64</v>
      </c>
      <c r="C31" s="98">
        <f>'Convenant 2026 werknemers'!C38</f>
        <v>93.041666666666671</v>
      </c>
      <c r="D31" s="98">
        <f>'Convenant 2026 werknemers'!D38</f>
        <v>101.68421052631579</v>
      </c>
      <c r="E31" s="99">
        <f>'Convenant 2026 werknemers'!E38</f>
        <v>78.029411764705884</v>
      </c>
    </row>
    <row r="32" spans="1:20" x14ac:dyDescent="0.2">
      <c r="A32" s="72" t="s">
        <v>54</v>
      </c>
      <c r="B32" s="220">
        <v>3.8113692447981791</v>
      </c>
      <c r="C32" s="220">
        <v>4.4024204919670433</v>
      </c>
      <c r="D32" s="220">
        <v>4.2072582443413573</v>
      </c>
      <c r="E32" s="221">
        <v>4.12046213532017</v>
      </c>
      <c r="M32" s="140" t="s">
        <v>114</v>
      </c>
    </row>
    <row r="33" spans="1:16" x14ac:dyDescent="0.2">
      <c r="A33" s="72" t="s">
        <v>56</v>
      </c>
      <c r="B33" s="220">
        <v>0.41151565234111587</v>
      </c>
      <c r="C33" s="220">
        <v>1.094488945563205</v>
      </c>
      <c r="D33" s="220">
        <v>1.4050631611932836</v>
      </c>
      <c r="E33" s="221">
        <v>0.89376694525472145</v>
      </c>
      <c r="J33" s="1" t="s">
        <v>27</v>
      </c>
      <c r="K33" s="219">
        <v>2100</v>
      </c>
      <c r="L33" s="111" t="s">
        <v>7</v>
      </c>
      <c r="M33" s="157">
        <f>M27</f>
        <v>100.56058578416217</v>
      </c>
    </row>
    <row r="34" spans="1:16" x14ac:dyDescent="0.2">
      <c r="A34" s="72" t="s">
        <v>31</v>
      </c>
      <c r="B34" s="100">
        <f>B31*B32</f>
        <v>173.95089233258889</v>
      </c>
      <c r="C34" s="100">
        <f>C31*C32</f>
        <v>409.60853994010034</v>
      </c>
      <c r="D34" s="100">
        <f>D31*D32</f>
        <v>427.81173305618438</v>
      </c>
      <c r="E34" s="97">
        <f>E31*E32</f>
        <v>321.5172366177768</v>
      </c>
      <c r="K34" s="219">
        <v>210</v>
      </c>
      <c r="L34" s="111" t="s">
        <v>26</v>
      </c>
      <c r="M34" s="158">
        <f>M27/12</f>
        <v>8.3800488153468482</v>
      </c>
    </row>
    <row r="35" spans="1:16" ht="13.5" thickBot="1" x14ac:dyDescent="0.25">
      <c r="A35" s="73" t="s">
        <v>58</v>
      </c>
      <c r="B35" s="101">
        <f>B11*B31</f>
        <v>18.781574372848528</v>
      </c>
      <c r="C35" s="101">
        <f>E11*C31</f>
        <v>101.83307564344319</v>
      </c>
      <c r="D35" s="101">
        <f>H11*D31</f>
        <v>142.87273828554862</v>
      </c>
      <c r="E35" s="85">
        <f>K11*E31</f>
        <v>69.740108992963997</v>
      </c>
    </row>
    <row r="36" spans="1:16" x14ac:dyDescent="0.2">
      <c r="L36" s="242" t="s">
        <v>70</v>
      </c>
      <c r="M36" s="243"/>
    </row>
    <row r="37" spans="1:16" x14ac:dyDescent="0.2">
      <c r="L37" s="147" t="s">
        <v>85</v>
      </c>
      <c r="M37" s="152">
        <v>46</v>
      </c>
    </row>
    <row r="38" spans="1:16" x14ac:dyDescent="0.2">
      <c r="L38" s="147" t="s">
        <v>98</v>
      </c>
      <c r="M38" s="152">
        <v>51</v>
      </c>
    </row>
    <row r="39" spans="1:16" x14ac:dyDescent="0.2">
      <c r="A39" s="228" t="s">
        <v>115</v>
      </c>
      <c r="B39" s="229"/>
      <c r="E39" s="137"/>
      <c r="L39" s="147" t="s">
        <v>106</v>
      </c>
      <c r="M39" s="152">
        <v>59</v>
      </c>
    </row>
    <row r="40" spans="1:16" x14ac:dyDescent="0.2">
      <c r="A40" s="102" t="str">
        <f>'Convenant 2026 werknemers'!A54</f>
        <v>PAS2024</v>
      </c>
      <c r="B40" s="153">
        <f>'Convenant 2026 werknemers'!B54</f>
        <v>1.82</v>
      </c>
      <c r="L40" s="179" t="s">
        <v>111</v>
      </c>
      <c r="M40" s="189">
        <v>93</v>
      </c>
      <c r="N40" s="6"/>
    </row>
    <row r="41" spans="1:16" x14ac:dyDescent="0.2">
      <c r="A41" s="107" t="s">
        <v>64</v>
      </c>
      <c r="B41" s="109">
        <v>2</v>
      </c>
      <c r="L41" s="179" t="s">
        <v>116</v>
      </c>
      <c r="M41" s="189">
        <v>111.2965155693372</v>
      </c>
      <c r="N41" s="6"/>
      <c r="P41" s="142"/>
    </row>
    <row r="42" spans="1:16" x14ac:dyDescent="0.2">
      <c r="L42" s="179" t="s">
        <v>119</v>
      </c>
      <c r="M42" s="189">
        <v>102.47060345510947</v>
      </c>
      <c r="N42" s="6"/>
    </row>
    <row r="43" spans="1:16" x14ac:dyDescent="0.2">
      <c r="L43" s="162" t="s">
        <v>125</v>
      </c>
      <c r="M43" s="190">
        <v>107.43302118419</v>
      </c>
      <c r="N43" s="6"/>
      <c r="O43" s="2" t="s">
        <v>130</v>
      </c>
      <c r="P43" s="2"/>
    </row>
    <row r="44" spans="1:16" x14ac:dyDescent="0.2">
      <c r="A44" s="222" t="s">
        <v>150</v>
      </c>
      <c r="B44" s="223"/>
      <c r="L44" s="192" t="s">
        <v>133</v>
      </c>
      <c r="M44" s="193">
        <v>76.589671200276698</v>
      </c>
      <c r="O44" s="2" t="s">
        <v>130</v>
      </c>
    </row>
    <row r="45" spans="1:16" x14ac:dyDescent="0.2">
      <c r="A45" s="224"/>
      <c r="B45" s="225"/>
      <c r="L45" s="192" t="s">
        <v>138</v>
      </c>
      <c r="M45" s="193">
        <v>71.371521227353526</v>
      </c>
      <c r="O45" s="2" t="s">
        <v>130</v>
      </c>
    </row>
    <row r="46" spans="1:16" x14ac:dyDescent="0.2">
      <c r="A46" s="224"/>
      <c r="B46" s="225"/>
      <c r="L46" s="192" t="s">
        <v>144</v>
      </c>
      <c r="M46" s="193">
        <f>M27</f>
        <v>100.56058578416217</v>
      </c>
      <c r="O46" s="2" t="s">
        <v>130</v>
      </c>
    </row>
    <row r="47" spans="1:16" x14ac:dyDescent="0.2">
      <c r="A47" s="224"/>
      <c r="B47" s="225"/>
      <c r="L47" s="174" t="s">
        <v>97</v>
      </c>
      <c r="M47" s="175">
        <v>33</v>
      </c>
      <c r="O47" s="2" t="s">
        <v>107</v>
      </c>
    </row>
    <row r="48" spans="1:16" x14ac:dyDescent="0.2">
      <c r="A48" s="226"/>
      <c r="B48" s="227"/>
      <c r="L48" s="147" t="s">
        <v>109</v>
      </c>
      <c r="M48" s="152">
        <v>52</v>
      </c>
      <c r="O48" s="2" t="s">
        <v>108</v>
      </c>
    </row>
    <row r="49" spans="12:15" x14ac:dyDescent="0.2">
      <c r="L49" s="147" t="s">
        <v>112</v>
      </c>
      <c r="M49" s="152">
        <v>67.666666666666671</v>
      </c>
      <c r="O49" s="2" t="s">
        <v>101</v>
      </c>
    </row>
    <row r="50" spans="12:15" x14ac:dyDescent="0.2">
      <c r="L50" s="147" t="s">
        <v>117</v>
      </c>
      <c r="M50" s="152">
        <v>87.765505189779063</v>
      </c>
      <c r="O50" s="2" t="s">
        <v>118</v>
      </c>
    </row>
    <row r="51" spans="12:15" x14ac:dyDescent="0.2">
      <c r="L51" s="147" t="s">
        <v>120</v>
      </c>
      <c r="M51" s="152">
        <v>102.25570634148222</v>
      </c>
      <c r="O51" s="2" t="s">
        <v>121</v>
      </c>
    </row>
    <row r="52" spans="12:15" x14ac:dyDescent="0.2">
      <c r="L52" s="147" t="s">
        <v>123</v>
      </c>
      <c r="M52" s="152">
        <v>107.06716405283213</v>
      </c>
      <c r="O52" s="2" t="s">
        <v>124</v>
      </c>
    </row>
    <row r="53" spans="12:15" x14ac:dyDescent="0.2">
      <c r="L53" s="147" t="s">
        <v>127</v>
      </c>
      <c r="M53" s="152">
        <v>107.06671340287903</v>
      </c>
      <c r="O53" s="2" t="s">
        <v>128</v>
      </c>
    </row>
    <row r="54" spans="12:15" x14ac:dyDescent="0.2">
      <c r="L54" s="147" t="s">
        <v>131</v>
      </c>
      <c r="M54" s="152">
        <v>107.06671340287903</v>
      </c>
      <c r="O54" s="2" t="s">
        <v>132</v>
      </c>
    </row>
    <row r="55" spans="12:15" x14ac:dyDescent="0.2">
      <c r="L55" s="147" t="s">
        <v>135</v>
      </c>
      <c r="M55" s="152">
        <v>95.497765279858825</v>
      </c>
      <c r="O55" s="2" t="s">
        <v>136</v>
      </c>
    </row>
    <row r="56" spans="12:15" x14ac:dyDescent="0.2">
      <c r="L56" s="147" t="s">
        <v>137</v>
      </c>
      <c r="M56" s="152">
        <v>85.131404537273525</v>
      </c>
      <c r="O56" s="2" t="s">
        <v>140</v>
      </c>
    </row>
    <row r="57" spans="12:15" x14ac:dyDescent="0.2">
      <c r="L57" s="160" t="s">
        <v>151</v>
      </c>
      <c r="M57" s="159">
        <f>AVERAGE(M44,M45,M46)</f>
        <v>82.840592737264146</v>
      </c>
      <c r="O57" s="188" t="s">
        <v>148</v>
      </c>
    </row>
  </sheetData>
  <mergeCells count="12">
    <mergeCell ref="A44:B48"/>
    <mergeCell ref="J25:J26"/>
    <mergeCell ref="H1:J1"/>
    <mergeCell ref="L36:M36"/>
    <mergeCell ref="M27:M30"/>
    <mergeCell ref="A39:B39"/>
    <mergeCell ref="B1:D1"/>
    <mergeCell ref="E1:G1"/>
    <mergeCell ref="I25:I26"/>
    <mergeCell ref="K1:M1"/>
    <mergeCell ref="L25:L26"/>
    <mergeCell ref="K25:K26"/>
  </mergeCells>
  <phoneticPr fontId="3" type="noConversion"/>
  <pageMargins left="0.75" right="0.75" top="1" bottom="1" header="0.5" footer="0.5"/>
  <pageSetup paperSize="9" scale="54" orientation="landscape" r:id="rId1"/>
  <headerFooter alignWithMargins="0">
    <oddHeader>&amp;R&amp;"Arial,Cursief"&amp;F
&amp;A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6f473-d19a-4999-8fab-a71ba3339cca">
      <Terms xmlns="http://schemas.microsoft.com/office/infopath/2007/PartnerControls"/>
    </lcf76f155ced4ddcb4097134ff3c332f>
    <TaxCatchAll xmlns="d5622402-eda3-490e-835d-e256b2a551aa" xsi:nil="true"/>
    <DatumenTijd xmlns="61d6f473-d19a-4999-8fab-a71ba3339c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47AEB56878C4AAB121E4343D5AA96" ma:contentTypeVersion="15" ma:contentTypeDescription="Een nieuw document maken." ma:contentTypeScope="" ma:versionID="7ff83b6f9b2d4692752729bd66868172">
  <xsd:schema xmlns:xsd="http://www.w3.org/2001/XMLSchema" xmlns:xs="http://www.w3.org/2001/XMLSchema" xmlns:p="http://schemas.microsoft.com/office/2006/metadata/properties" xmlns:ns2="61d6f473-d19a-4999-8fab-a71ba3339cca" xmlns:ns3="d5622402-eda3-490e-835d-e256b2a551aa" targetNamespace="http://schemas.microsoft.com/office/2006/metadata/properties" ma:root="true" ma:fieldsID="92237cc085488f10082da0990eab4451" ns2:_="" ns3:_="">
    <xsd:import namespace="61d6f473-d19a-4999-8fab-a71ba3339cca"/>
    <xsd:import namespace="d5622402-eda3-490e-835d-e256b2a55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umenTij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f473-d19a-4999-8fab-a71ba3339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2d68bf3-2f49-40f8-844b-b4f8913c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umenTijd" ma:index="21" nillable="true" ma:displayName="Datum en Tijd " ma:format="DateTime" ma:internalName="DatumenTijd">
      <xsd:simpleType>
        <xsd:restriction base="dms:DateTim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22402-eda3-490e-835d-e256b2a551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a3adb9-9518-483d-8a34-cfbf3187d6aa}" ma:internalName="TaxCatchAll" ma:showField="CatchAllData" ma:web="d5622402-eda3-490e-835d-e256b2a55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E5827-5395-4764-945B-28F9E46D70E9}">
  <ds:schemaRefs>
    <ds:schemaRef ds:uri="61d6f473-d19a-4999-8fab-a71ba3339cca"/>
    <ds:schemaRef ds:uri="http://schemas.microsoft.com/office/infopath/2007/PartnerControls"/>
    <ds:schemaRef ds:uri="http://purl.org/dc/elements/1.1/"/>
    <ds:schemaRef ds:uri="d5622402-eda3-490e-835d-e256b2a551aa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59E2F4-3902-4E25-AC2A-F1E68036F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6f473-d19a-4999-8fab-a71ba3339cca"/>
    <ds:schemaRef ds:uri="d5622402-eda3-490e-835d-e256b2a55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51DE98-0534-4A45-A204-1CEBD5866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Convenant 2026 werknemers</vt:lpstr>
      <vt:lpstr>Convenant 2026 vrijwilligers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2019-12-05T09:32:22Z</cp:lastPrinted>
  <dcterms:created xsi:type="dcterms:W3CDTF">2008-10-20T07:37:20Z</dcterms:created>
  <dcterms:modified xsi:type="dcterms:W3CDTF">2025-10-22T12:03:46Z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0x010100B8947AEB56878C4AAB121E4343D5AA96</vt:lpwstr>
  </property>
  <property fmtid="{D5CDD505-2E9C-101B-9397-08002B2CF9AE}" pid="3" name="MediaServiceImageTags">
    <vt:lpwstr/>
  </property>
</Properties>
</file>